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customProperty"/>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1120" yWindow="1120" windowWidth="24480" windowHeight="14940" tabRatio="788" activeTab="3"/>
  </bookViews>
  <sheets>
    <sheet name="Gen" sheetId="14" r:id="rId1"/>
    <sheet name="Feb" sheetId="19" r:id="rId2"/>
    <sheet name="Mar" sheetId="20" r:id="rId3"/>
    <sheet name="Apr" sheetId="22" r:id="rId4"/>
    <sheet name="Mag" sheetId="24" r:id="rId5"/>
    <sheet name="Giu" sheetId="25" r:id="rId6"/>
    <sheet name="legenda" sheetId="34" r:id="rId7"/>
    <sheet name="Elenco di ricerca" sheetId="15" r:id="rId8"/>
    <sheet name="Elenco per data" sheetId="35" r:id="rId9"/>
  </sheets>
  <definedNames>
    <definedName name="_xlnm._FilterDatabase" localSheetId="7" hidden="1">'Elenco di ricerca'!$A$1:$A$9</definedName>
    <definedName name="AprSun1">DATE(CalendarYear,4,1)-WEEKDAY(DATE(CalendarYear,4,1))+1</definedName>
    <definedName name="_xlnm.Print_Area" localSheetId="0">Gen!$A$1:$H$14</definedName>
    <definedName name="AugSun1">DATE(CalendarYear,8,1)-WEEKDAY(DATE(CalendarYear,8,1))+1</definedName>
    <definedName name="CalendarYear">Gen!$K$1</definedName>
    <definedName name="DecSun1">DATE(CalendarYear,12,1)-WEEKDAY(DATE(CalendarYear,12,1))+1</definedName>
    <definedName name="FebSun1">DATE(CalendarYear,2,1)-WEEKDAY(DATE(CalendarYear,2,1))+1</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SepSun1">DATE(CalendarYear,9,1)-WEEKDAY(DATE(CalendarYear,9,1))+1</definedName>
    <definedName name="Year">'Elenco di ricerca'!$A$2:$A$9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7" i="14" l="1"/>
  <c r="B6" i="19"/>
  <c r="C6" i="19"/>
  <c r="D6" i="19"/>
  <c r="E6" i="19"/>
  <c r="F6" i="19"/>
  <c r="G6" i="19"/>
  <c r="H6" i="19"/>
  <c r="B13" i="25"/>
  <c r="H11" i="25"/>
  <c r="G11" i="25"/>
  <c r="F11" i="25"/>
  <c r="E11" i="25"/>
  <c r="D11" i="25"/>
  <c r="C11" i="25"/>
  <c r="B11" i="25"/>
  <c r="H9" i="25"/>
  <c r="G9" i="25"/>
  <c r="F9" i="25"/>
  <c r="E9" i="25"/>
  <c r="D9" i="25"/>
  <c r="C9" i="25"/>
  <c r="B9" i="25"/>
  <c r="H7" i="25"/>
  <c r="G7" i="25"/>
  <c r="F7" i="25"/>
  <c r="E7" i="25"/>
  <c r="D7" i="25"/>
  <c r="C7" i="25"/>
  <c r="B7" i="25"/>
  <c r="H5" i="25"/>
  <c r="G5" i="25"/>
  <c r="F5" i="25"/>
  <c r="E5" i="25"/>
  <c r="D5" i="25"/>
  <c r="C5" i="25"/>
  <c r="B5" i="25"/>
  <c r="H3" i="25"/>
  <c r="G3" i="25"/>
  <c r="F3" i="25"/>
  <c r="E3" i="25"/>
  <c r="D3" i="25"/>
  <c r="C3" i="25"/>
  <c r="B3" i="25"/>
  <c r="B1" i="25"/>
  <c r="C18" i="24"/>
  <c r="B18" i="24"/>
  <c r="H15" i="24"/>
  <c r="G15" i="24"/>
  <c r="F15" i="24"/>
  <c r="E15" i="24"/>
  <c r="D15" i="24"/>
  <c r="C15" i="24"/>
  <c r="B15" i="24"/>
  <c r="H12" i="24"/>
  <c r="G12" i="24"/>
  <c r="F12" i="24"/>
  <c r="E12" i="24"/>
  <c r="D12" i="24"/>
  <c r="C12" i="24"/>
  <c r="B12" i="24"/>
  <c r="H9" i="24"/>
  <c r="G9" i="24"/>
  <c r="F9" i="24"/>
  <c r="E9" i="24"/>
  <c r="D9" i="24"/>
  <c r="C9" i="24"/>
  <c r="B9" i="24"/>
  <c r="H6" i="24"/>
  <c r="G6" i="24"/>
  <c r="F6" i="24"/>
  <c r="E6" i="24"/>
  <c r="D6" i="24"/>
  <c r="C6" i="24"/>
  <c r="B6" i="24"/>
  <c r="H3" i="24"/>
  <c r="G3" i="24"/>
  <c r="F3" i="24"/>
  <c r="E3" i="24"/>
  <c r="D3" i="24"/>
  <c r="C3" i="24"/>
  <c r="B3" i="24"/>
  <c r="B1" i="24"/>
  <c r="B18" i="22"/>
  <c r="H15" i="22"/>
  <c r="G15" i="22"/>
  <c r="F15" i="22"/>
  <c r="E15" i="22"/>
  <c r="D15" i="22"/>
  <c r="C15" i="22"/>
  <c r="B15" i="22"/>
  <c r="H12" i="22"/>
  <c r="G12" i="22"/>
  <c r="F12" i="22"/>
  <c r="E12" i="22"/>
  <c r="D12" i="22"/>
  <c r="C12" i="22"/>
  <c r="B12" i="22"/>
  <c r="H9" i="22"/>
  <c r="G9" i="22"/>
  <c r="F9" i="22"/>
  <c r="E9" i="22"/>
  <c r="D9" i="22"/>
  <c r="C9" i="22"/>
  <c r="B9" i="22"/>
  <c r="H6" i="22"/>
  <c r="G6" i="22"/>
  <c r="F6" i="22"/>
  <c r="E6" i="22"/>
  <c r="D6" i="22"/>
  <c r="C6" i="22"/>
  <c r="B6" i="22"/>
  <c r="H3" i="22"/>
  <c r="G3" i="22"/>
  <c r="F3" i="22"/>
  <c r="E3" i="22"/>
  <c r="D3" i="22"/>
  <c r="C3" i="22"/>
  <c r="B3" i="22"/>
  <c r="B1" i="22"/>
  <c r="H15" i="19"/>
  <c r="G15" i="19"/>
  <c r="F15" i="19"/>
  <c r="E15" i="19"/>
  <c r="D15" i="19"/>
  <c r="C15" i="19"/>
  <c r="B15" i="19"/>
  <c r="H12" i="19"/>
  <c r="G12" i="19"/>
  <c r="F12" i="19"/>
  <c r="E12" i="19"/>
  <c r="D12" i="19"/>
  <c r="C12" i="19"/>
  <c r="B12" i="19"/>
  <c r="H9" i="19"/>
  <c r="G9" i="19"/>
  <c r="F9" i="19"/>
  <c r="E9" i="19"/>
  <c r="D9" i="19"/>
  <c r="C9" i="19"/>
  <c r="B9" i="19"/>
  <c r="H3" i="19"/>
  <c r="G3" i="19"/>
  <c r="F3" i="19"/>
  <c r="E3" i="19"/>
  <c r="D3" i="19"/>
  <c r="C3" i="19"/>
  <c r="B3" i="19"/>
  <c r="C18" i="20"/>
  <c r="B18" i="20"/>
  <c r="H15" i="20"/>
  <c r="G15" i="20"/>
  <c r="F15" i="20"/>
  <c r="E15" i="20"/>
  <c r="D15" i="20"/>
  <c r="C15" i="20"/>
  <c r="B15" i="20"/>
  <c r="H12" i="20"/>
  <c r="G12" i="20"/>
  <c r="F12" i="20"/>
  <c r="E12" i="20"/>
  <c r="D12" i="20"/>
  <c r="C12" i="20"/>
  <c r="B12" i="20"/>
  <c r="H9" i="20"/>
  <c r="G9" i="20"/>
  <c r="F9" i="20"/>
  <c r="E9" i="20"/>
  <c r="D9" i="20"/>
  <c r="C9" i="20"/>
  <c r="B9" i="20"/>
  <c r="H6" i="20"/>
  <c r="G6" i="20"/>
  <c r="F6" i="20"/>
  <c r="E6" i="20"/>
  <c r="D6" i="20"/>
  <c r="C6" i="20"/>
  <c r="B6" i="20"/>
  <c r="H3" i="20"/>
  <c r="G3" i="20"/>
  <c r="F3" i="20"/>
  <c r="E3" i="20"/>
  <c r="D3" i="20"/>
  <c r="C3" i="20"/>
  <c r="B3" i="20"/>
  <c r="B1" i="20"/>
  <c r="B1" i="19"/>
  <c r="C13" i="14"/>
  <c r="B13" i="14"/>
  <c r="H11" i="14"/>
  <c r="G11" i="14"/>
  <c r="F11" i="14"/>
  <c r="E11" i="14"/>
  <c r="D11" i="14"/>
  <c r="C11" i="14"/>
  <c r="B11" i="14"/>
  <c r="H9" i="14"/>
  <c r="G9" i="14"/>
  <c r="F9" i="14"/>
  <c r="E9" i="14"/>
  <c r="D9" i="14"/>
  <c r="B9" i="14"/>
  <c r="C9" i="14"/>
  <c r="H7" i="14"/>
  <c r="G7" i="14"/>
  <c r="E7" i="14"/>
  <c r="D7" i="14"/>
  <c r="C7" i="14"/>
  <c r="B7" i="14"/>
  <c r="H5" i="14"/>
  <c r="G5" i="14"/>
  <c r="F5" i="14"/>
  <c r="E5" i="14"/>
  <c r="D5" i="14"/>
  <c r="C5" i="14"/>
  <c r="B5" i="14"/>
  <c r="F3" i="14"/>
  <c r="B3" i="14"/>
  <c r="H3" i="14"/>
  <c r="G3" i="14"/>
  <c r="E3" i="14"/>
  <c r="D3" i="14"/>
  <c r="C3" i="14"/>
  <c r="B1" i="14"/>
</calcChain>
</file>

<file path=xl/comments1.xml><?xml version="1.0" encoding="utf-8"?>
<comments xmlns="http://schemas.openxmlformats.org/spreadsheetml/2006/main">
  <authors>
    <author xml:space="preserve">   </author>
  </authors>
  <commentList>
    <comment ref="J4" authorId="0">
      <text>
        <r>
          <rPr>
            <b/>
            <sz val="9"/>
            <color indexed="81"/>
            <rFont val="Geneva"/>
          </rPr>
          <t>Quando si fa clic nella cella in cui viene visualizzato l'anno, si visualizza un elenco popup di anni dai quali scegliere. Se si effettua una selezione, i fogli del calendario di tutti i mesi di questa cartella di lavoro si aggiornano automaticamente.
Per modificare gli anni disponibili nell'elenco, vedere il foglio Elenco di ricerca.
Nota: in tutte le cellule che consentono di visualizzare le date nonché in quelle che vengono visualizzate come vuote all'interno delle celle di calendario per le righe che contengono valori di data, esistono delle formule in modo da consentire al calendario di aggiornarsi automaticamente.  Se il testo di queste celle viene modificato manualmente, il calendario non sarà più in grado di aggiornarsi automaticamente.
Tuttavia, è possibile digitare il testo nelle celle più alte al di sotto di ogni cella relativa alla data, ad esempio dove si vede la scritta 'Testo di esempio' nella prima cella più alta disponibile di questo calendario.</t>
        </r>
      </text>
    </comment>
    <comment ref="J11" authorId="0">
      <text>
        <r>
          <rPr>
            <b/>
            <sz val="9"/>
            <color indexed="81"/>
            <rFont val="Geneva"/>
          </rPr>
          <t>È possibile applicare un aspetto personalizzato a questo calendario. Questo modello è formattato con temi che consentono di applicare tipi di carattere, colori ed effetti di formattazione grafici a tutta la cartella di lavoro con un semplice clic.
I temi sono disponibili nella scheda Home del gruppo Temi. È possibile selezionare tra decine di temi incorporati della galleria Temi oppure trovare opzioni per modificare soltanto i tipi di carattere o i colori del tema.</t>
        </r>
      </text>
    </comment>
  </commentList>
</comments>
</file>

<file path=xl/comments2.xml><?xml version="1.0" encoding="utf-8"?>
<comments xmlns="http://schemas.openxmlformats.org/spreadsheetml/2006/main">
  <authors>
    <author xml:space="preserve">   </author>
  </authors>
  <commentList>
    <comment ref="C4" authorId="0">
      <text>
        <r>
          <rPr>
            <b/>
            <sz val="9"/>
            <color indexed="81"/>
            <rFont val="Geneva"/>
          </rPr>
          <t>Questo elenco popola le opzioni che vengono visualizzate nell'elenco popup relativo all'anno nel foglio Gen. Per aggiungere altri anni, iniziare a digitare nella cella immediatamente sotto l'ultima voce esitente. L'elenco si estenderà automaticamente.</t>
        </r>
      </text>
    </comment>
  </commentList>
</comments>
</file>

<file path=xl/sharedStrings.xml><?xml version="1.0" encoding="utf-8"?>
<sst xmlns="http://schemas.openxmlformats.org/spreadsheetml/2006/main" count="453" uniqueCount="125">
  <si>
    <t>Domenica</t>
  </si>
  <si>
    <t>Lunedì</t>
  </si>
  <si>
    <t>Martedì</t>
  </si>
  <si>
    <t>Mercoledì</t>
  </si>
  <si>
    <t>Giovedì</t>
  </si>
  <si>
    <t>Venerdì</t>
  </si>
  <si>
    <t>Sabato</t>
  </si>
  <si>
    <t>Testo di esempio.</t>
  </si>
  <si>
    <t>Note:</t>
  </si>
  <si>
    <t>Seleziona l'anno:</t>
  </si>
  <si>
    <t>Venerdi</t>
  </si>
  <si>
    <t>Note</t>
  </si>
  <si>
    <t>Anno</t>
  </si>
  <si>
    <t>MATT</t>
  </si>
  <si>
    <t>POM</t>
  </si>
  <si>
    <t xml:space="preserve">MATT </t>
  </si>
  <si>
    <t>A1 GEOMO Z.          B1 STOGEO V.</t>
  </si>
  <si>
    <t>A2 GEOMO Z.          B2 STOGEO V.</t>
  </si>
  <si>
    <t>B1 GEOMO Z.          A1 STOGEO T.</t>
  </si>
  <si>
    <t>B2 GEOMO Z.          A2 STOGEO T.</t>
  </si>
  <si>
    <t>B3 STOGEO V.           A3 STOGEO T.</t>
  </si>
  <si>
    <t>\</t>
  </si>
  <si>
    <t>A1 LING T.</t>
  </si>
  <si>
    <t>B1 LING T.</t>
  </si>
  <si>
    <t>B2 LING T.</t>
  </si>
  <si>
    <t>A4 GEOMO Z.</t>
  </si>
  <si>
    <t>A2 BES G.</t>
  </si>
  <si>
    <t>A1 BES G.</t>
  </si>
  <si>
    <t>legenfa calendario</t>
  </si>
  <si>
    <t>A</t>
  </si>
  <si>
    <t>B</t>
  </si>
  <si>
    <t>Gruppo B</t>
  </si>
  <si>
    <t>Gruppo A</t>
  </si>
  <si>
    <t>numero progressivo vicino alla lettera</t>
  </si>
  <si>
    <t>VOCE</t>
  </si>
  <si>
    <t>SIGNIFICATO</t>
  </si>
  <si>
    <t>BES</t>
  </si>
  <si>
    <t>Laboratorio interdisciplinare B.E.S. personalizzazione degli interventi educativi</t>
  </si>
  <si>
    <t>GEOMO</t>
  </si>
  <si>
    <t>STOGEO</t>
  </si>
  <si>
    <t>STOSCUO</t>
  </si>
  <si>
    <t>LING</t>
  </si>
  <si>
    <t>T.</t>
  </si>
  <si>
    <t>Dr. Trezzi</t>
  </si>
  <si>
    <t>G.</t>
  </si>
  <si>
    <t>Dr.ssa Grassi</t>
  </si>
  <si>
    <t>Laboratorio annesso all'insegnamento di Geometria e motricità</t>
  </si>
  <si>
    <t>Laboratorio annesso all'insegnamento di Storia della pedagogia della scuola infanzia e primaria</t>
  </si>
  <si>
    <t>Laboratorio annesso all'insegnamento diIstituzioni di Linguistica</t>
  </si>
  <si>
    <t>Laboratorio annesso all'insegnamento di Istituzioni di Storia e Geografia I</t>
  </si>
  <si>
    <t xml:space="preserve">Z. </t>
  </si>
  <si>
    <t>Dr.ssa Zappettini</t>
  </si>
  <si>
    <t>(conduttore)</t>
  </si>
  <si>
    <t>D.</t>
  </si>
  <si>
    <t>Dr.ssa Di Rago</t>
  </si>
  <si>
    <t xml:space="preserve">A3 GEOMO Z.         </t>
  </si>
  <si>
    <t>A5 GEOMO Z.             B5 STOGEO V.</t>
  </si>
  <si>
    <t xml:space="preserve">B3 GEOMO Z.          </t>
  </si>
  <si>
    <t>B2 STOSCUO D.         A4 STOGEO T.</t>
  </si>
  <si>
    <t>A7 STOGEO T.</t>
  </si>
  <si>
    <t>A6 STOSCUO D. 10-13        B7 GEOMO Z.</t>
  </si>
  <si>
    <t>A5 STOSCUO D. 10-13       B6 GEOMO Z.</t>
  </si>
  <si>
    <t>A4 STOSCUO D. 10-13</t>
  </si>
  <si>
    <t>A2 STOSCUO D. 10-13        B4 STOGEO V.</t>
  </si>
  <si>
    <t xml:space="preserve">B1 STOSCUO D. 14-17        A2 LING T. </t>
  </si>
  <si>
    <t>B4 STOSCUO D. 14-17</t>
  </si>
  <si>
    <t>B5 STOSCUO D. 14-17        A6 GEOMO Z.</t>
  </si>
  <si>
    <t>B6 STOSCUO D. 14-17       A7 GEOMO Z.</t>
  </si>
  <si>
    <t xml:space="preserve">B3 STOSCUO D.14-17          A2 BES G.       </t>
  </si>
  <si>
    <t xml:space="preserve">A3 STOSCUO D. 10-13          B2 BES G.       </t>
  </si>
  <si>
    <t>A3 BES G.</t>
  </si>
  <si>
    <t>A3 LING T.                   B3 BES G.</t>
  </si>
  <si>
    <t>A4 BES G.                   B8 STOGEO V.</t>
  </si>
  <si>
    <t>B4 BES G.                   A8 STOGEO T.</t>
  </si>
  <si>
    <t>B6 STOGEO V.           A5 STOGEO T.</t>
  </si>
  <si>
    <t>B5 GEOMO Z.             A4 LING A</t>
  </si>
  <si>
    <t>B7 STOGEO V.          A6 STOGEO T.</t>
  </si>
  <si>
    <t>B4 GEOMO Z.            B3 LING T.</t>
  </si>
  <si>
    <t>B4 LING T.</t>
  </si>
  <si>
    <t>B8 GEOMO Z.          A7 STOSCUO D. 10-13</t>
  </si>
  <si>
    <t>A8 GEOMO Z.          B7 STOSCUO D. 14-17</t>
  </si>
  <si>
    <t>AB8 STOSCUO D. 10-13</t>
  </si>
  <si>
    <t>data</t>
  </si>
  <si>
    <t>ora</t>
  </si>
  <si>
    <t>conduttore</t>
  </si>
  <si>
    <t>laboratorio annesso agli insegnamenti</t>
  </si>
  <si>
    <t>13-15</t>
  </si>
  <si>
    <t>Lanzini</t>
  </si>
  <si>
    <t>14-18</t>
  </si>
  <si>
    <t>9,00-13</t>
  </si>
  <si>
    <t>gruppo</t>
  </si>
  <si>
    <t>Grassi</t>
  </si>
  <si>
    <t>Zappettini</t>
  </si>
  <si>
    <t>Villa</t>
  </si>
  <si>
    <t>Trezzi</t>
  </si>
  <si>
    <t>16-18</t>
  </si>
  <si>
    <t>AB</t>
  </si>
  <si>
    <t>Casaschi</t>
  </si>
  <si>
    <t>Visiting Professor Waters (Sotgiu)</t>
  </si>
  <si>
    <t>10,00-13</t>
  </si>
  <si>
    <t>Storia della pedagogia delle scuole inf. e prim.</t>
  </si>
  <si>
    <t>DI Rago</t>
  </si>
  <si>
    <t>14-17</t>
  </si>
  <si>
    <t>Linguistica</t>
  </si>
  <si>
    <t>B1 SCINFA L. (h13-15)        AB Visiting Elena Gonzalez Alfaya (h 16-18)</t>
  </si>
  <si>
    <t>A1 SCINFA L. (h13-15)</t>
  </si>
  <si>
    <t>inidca il numero progressivo degli incontri di quel lab. per quel gruppo.</t>
  </si>
  <si>
    <t>SCINFA</t>
  </si>
  <si>
    <t>Laboratorio dedicato alla scuola dell'infanzia</t>
  </si>
  <si>
    <t>(mancano ancora alcune date)</t>
  </si>
  <si>
    <t>L.</t>
  </si>
  <si>
    <t>Dr.ssa Lanzini</t>
  </si>
  <si>
    <t>Gruppo A (detto nel primo semestre anche + o 1</t>
  </si>
  <si>
    <t>Gruppo B (detto nel primo semestre anche x o 2</t>
  </si>
  <si>
    <t>Aula</t>
  </si>
  <si>
    <t>Sede</t>
  </si>
  <si>
    <t>Infanzia</t>
  </si>
  <si>
    <t>Geometria-motricità</t>
  </si>
  <si>
    <t>Geografia-storia</t>
  </si>
  <si>
    <t>28_feb</t>
  </si>
  <si>
    <t>Visiting Profesora Elena Gonzalez Alaya</t>
  </si>
  <si>
    <t xml:space="preserve">A </t>
  </si>
  <si>
    <t>Di Rago</t>
  </si>
  <si>
    <t>A1 STOSCUO D. h.10-13</t>
  </si>
  <si>
    <t>AB Visiting Theodore Waters h.16-18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</si>
</sst>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d"/>
  </numFmts>
  <fonts count="20" x14ac:knownFonts="1">
    <font>
      <sz val="11"/>
      <name val="Century Gothic"/>
      <family val="2"/>
    </font>
    <font>
      <sz val="8"/>
      <name val="Arial"/>
      <family val="2"/>
    </font>
    <font>
      <b/>
      <sz val="11"/>
      <color indexed="9"/>
      <name val="Century Gothic"/>
      <family val="2"/>
    </font>
    <font>
      <sz val="11"/>
      <color indexed="9"/>
      <name val="Century Gothic"/>
      <family val="2"/>
    </font>
    <font>
      <sz val="11"/>
      <name val="Arial"/>
      <family val="2"/>
    </font>
    <font>
      <sz val="11"/>
      <name val="Century Gothic"/>
      <family val="2"/>
    </font>
    <font>
      <sz val="11"/>
      <name val="Century Gothic"/>
      <family val="2"/>
    </font>
    <font>
      <sz val="11"/>
      <color indexed="63"/>
      <name val="Arial"/>
      <family val="2"/>
    </font>
    <font>
      <sz val="11"/>
      <color indexed="63"/>
      <name val="Century Gothic"/>
      <family val="2"/>
    </font>
    <font>
      <sz val="14"/>
      <color indexed="63"/>
      <name val="Century Gothic"/>
      <family val="2"/>
    </font>
    <font>
      <sz val="10"/>
      <color indexed="63"/>
      <name val="Century Gothic"/>
      <family val="2"/>
    </font>
    <font>
      <sz val="14"/>
      <color indexed="63"/>
      <name val="Century Gothic"/>
      <family val="2"/>
    </font>
    <font>
      <b/>
      <sz val="9"/>
      <color indexed="81"/>
      <name val="Geneva"/>
    </font>
    <font>
      <sz val="14"/>
      <color theme="1" tint="0.34998626667073579"/>
      <name val="Century Gothic"/>
      <family val="2"/>
    </font>
    <font>
      <b/>
      <sz val="11"/>
      <color theme="0"/>
      <name val="Century Gothic"/>
      <family val="2"/>
    </font>
    <font>
      <b/>
      <sz val="28"/>
      <color theme="1" tint="0.34998626667073579"/>
      <name val="Century Gothic"/>
      <family val="2"/>
    </font>
    <font>
      <u/>
      <sz val="11"/>
      <color theme="10"/>
      <name val="Century Gothic"/>
      <family val="2"/>
    </font>
    <font>
      <u/>
      <sz val="11"/>
      <color theme="11"/>
      <name val="Century Gothic"/>
      <family val="2"/>
    </font>
    <font>
      <sz val="10"/>
      <color rgb="FF4B4B4B"/>
      <name val="Century Gothic"/>
      <family val="2"/>
    </font>
    <font>
      <sz val="11"/>
      <name val="Calibri"/>
    </font>
  </fonts>
  <fills count="7">
    <fill>
      <patternFill patternType="none"/>
    </fill>
    <fill>
      <patternFill patternType="gray125"/>
    </fill>
    <fill>
      <patternFill patternType="solid">
        <fgColor indexed="9"/>
        <bgColor indexed="64"/>
      </patternFill>
    </fill>
    <fill>
      <patternFill patternType="solid">
        <fgColor theme="4" tint="0.59999389629810485"/>
        <bgColor indexed="65"/>
      </patternFill>
    </fill>
    <fill>
      <patternFill patternType="solid">
        <fgColor theme="4"/>
      </patternFill>
    </fill>
    <fill>
      <patternFill patternType="solid">
        <fgColor rgb="FFFFFFFF"/>
        <bgColor rgb="FF000000"/>
      </patternFill>
    </fill>
    <fill>
      <patternFill patternType="solid">
        <fgColor theme="0"/>
        <bgColor indexed="64"/>
      </patternFill>
    </fill>
  </fills>
  <borders count="28">
    <border>
      <left/>
      <right/>
      <top/>
      <bottom/>
      <diagonal/>
    </border>
    <border>
      <left style="thin">
        <color indexed="55"/>
      </left>
      <right style="thin">
        <color indexed="55"/>
      </right>
      <top style="thin">
        <color indexed="55"/>
      </top>
      <bottom style="thin">
        <color indexed="55"/>
      </bottom>
      <diagonal/>
    </border>
    <border>
      <left/>
      <right style="medium">
        <color indexed="57"/>
      </right>
      <top style="medium">
        <color indexed="57"/>
      </top>
      <bottom style="medium">
        <color indexed="57"/>
      </bottom>
      <diagonal/>
    </border>
    <border>
      <left style="medium">
        <color indexed="57"/>
      </left>
      <right style="thin">
        <color indexed="55"/>
      </right>
      <top style="thin">
        <color indexed="55"/>
      </top>
      <bottom style="thin">
        <color indexed="55"/>
      </bottom>
      <diagonal/>
    </border>
    <border>
      <left style="thin">
        <color indexed="55"/>
      </left>
      <right style="medium">
        <color indexed="57"/>
      </right>
      <top style="thin">
        <color indexed="55"/>
      </top>
      <bottom style="thin">
        <color indexed="55"/>
      </bottom>
      <diagonal/>
    </border>
    <border>
      <left style="thin">
        <color indexed="55"/>
      </left>
      <right style="thin">
        <color indexed="55"/>
      </right>
      <top style="thin">
        <color indexed="55"/>
      </top>
      <bottom style="medium">
        <color indexed="57"/>
      </bottom>
      <diagonal/>
    </border>
    <border>
      <left style="thin">
        <color indexed="55"/>
      </left>
      <right style="thin">
        <color indexed="55"/>
      </right>
      <top/>
      <bottom style="thin">
        <color indexed="55"/>
      </bottom>
      <diagonal/>
    </border>
    <border>
      <left style="medium">
        <color indexed="57"/>
      </left>
      <right style="thin">
        <color indexed="55"/>
      </right>
      <top/>
      <bottom style="thin">
        <color indexed="55"/>
      </bottom>
      <diagonal/>
    </border>
    <border>
      <left style="medium">
        <color indexed="57"/>
      </left>
      <right style="thin">
        <color indexed="55"/>
      </right>
      <top style="thin">
        <color indexed="55"/>
      </top>
      <bottom style="medium">
        <color indexed="57"/>
      </bottom>
      <diagonal/>
    </border>
    <border>
      <left style="medium">
        <color indexed="57"/>
      </left>
      <right style="thin">
        <color indexed="55"/>
      </right>
      <top style="medium">
        <color indexed="57"/>
      </top>
      <bottom/>
      <diagonal/>
    </border>
    <border>
      <left style="thin">
        <color indexed="55"/>
      </left>
      <right style="thin">
        <color indexed="55"/>
      </right>
      <top style="medium">
        <color indexed="57"/>
      </top>
      <bottom/>
      <diagonal/>
    </border>
    <border>
      <left style="thin">
        <color indexed="55"/>
      </left>
      <right style="medium">
        <color indexed="57"/>
      </right>
      <top style="medium">
        <color indexed="57"/>
      </top>
      <bottom/>
      <diagonal/>
    </border>
    <border>
      <left style="medium">
        <color indexed="57"/>
      </left>
      <right/>
      <top style="medium">
        <color indexed="57"/>
      </top>
      <bottom style="medium">
        <color indexed="57"/>
      </bottom>
      <diagonal/>
    </border>
    <border>
      <left style="medium">
        <color indexed="57"/>
      </left>
      <right style="thin">
        <color indexed="55"/>
      </right>
      <top style="medium">
        <color indexed="57"/>
      </top>
      <bottom style="thin">
        <color indexed="55"/>
      </bottom>
      <diagonal/>
    </border>
    <border>
      <left style="thin">
        <color indexed="55"/>
      </left>
      <right style="thin">
        <color indexed="55"/>
      </right>
      <top style="medium">
        <color indexed="57"/>
      </top>
      <bottom style="thin">
        <color indexed="55"/>
      </bottom>
      <diagonal/>
    </border>
    <border>
      <left style="thin">
        <color indexed="55"/>
      </left>
      <right style="medium">
        <color indexed="57"/>
      </right>
      <top style="medium">
        <color indexed="57"/>
      </top>
      <bottom style="thin">
        <color indexed="55"/>
      </bottom>
      <diagonal/>
    </border>
    <border>
      <left style="thin">
        <color indexed="55"/>
      </left>
      <right/>
      <top style="thin">
        <color indexed="55"/>
      </top>
      <bottom style="medium">
        <color indexed="57"/>
      </bottom>
      <diagonal/>
    </border>
    <border>
      <left/>
      <right/>
      <top style="thin">
        <color indexed="55"/>
      </top>
      <bottom style="medium">
        <color indexed="57"/>
      </bottom>
      <diagonal/>
    </border>
    <border>
      <left/>
      <right style="medium">
        <color indexed="57"/>
      </right>
      <top style="thin">
        <color indexed="55"/>
      </top>
      <bottom style="medium">
        <color indexed="57"/>
      </bottom>
      <diagonal/>
    </border>
    <border>
      <left style="thin">
        <color indexed="55"/>
      </left>
      <right style="medium">
        <color indexed="57"/>
      </right>
      <top/>
      <bottom style="thin">
        <color indexed="55"/>
      </bottom>
      <diagonal/>
    </border>
    <border>
      <left style="medium">
        <color indexed="57"/>
      </left>
      <right/>
      <top style="thin">
        <color indexed="55"/>
      </top>
      <bottom style="medium">
        <color indexed="57"/>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indexed="57"/>
      </left>
      <right/>
      <top style="thin">
        <color indexed="55"/>
      </top>
      <bottom style="thin">
        <color indexed="55"/>
      </bottom>
      <diagonal/>
    </border>
    <border>
      <left/>
      <right/>
      <top style="thin">
        <color indexed="55"/>
      </top>
      <bottom style="thin">
        <color indexed="55"/>
      </bottom>
      <diagonal/>
    </border>
    <border>
      <left/>
      <right style="medium">
        <color indexed="57"/>
      </right>
      <top style="thin">
        <color indexed="55"/>
      </top>
      <bottom style="thin">
        <color indexed="55"/>
      </bottom>
      <diagonal/>
    </border>
    <border>
      <left style="thin">
        <color indexed="55"/>
      </left>
      <right style="thin">
        <color indexed="55"/>
      </right>
      <top style="thin">
        <color auto="1"/>
      </top>
      <bottom style="thin">
        <color indexed="55"/>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s>
  <cellStyleXfs count="80">
    <xf numFmtId="0" fontId="0" fillId="0" borderId="0"/>
    <xf numFmtId="0" fontId="13" fillId="3" borderId="0" applyNumberFormat="0" applyBorder="0" applyAlignment="0" applyProtection="0"/>
    <xf numFmtId="0" fontId="14" fillId="4" borderId="21" applyNumberFormat="0" applyAlignment="0" applyProtection="0"/>
    <xf numFmtId="0" fontId="15" fillId="0" borderId="0"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55">
    <xf numFmtId="0" fontId="0" fillId="0" borderId="0" xfId="0"/>
    <xf numFmtId="0" fontId="4" fillId="2" borderId="0" xfId="0" applyFont="1" applyFill="1"/>
    <xf numFmtId="0" fontId="5" fillId="2" borderId="0" xfId="0" applyFont="1" applyFill="1"/>
    <xf numFmtId="0" fontId="5" fillId="0" borderId="0" xfId="0" applyFont="1"/>
    <xf numFmtId="0" fontId="4" fillId="0" borderId="0" xfId="0" applyFont="1"/>
    <xf numFmtId="165" fontId="8" fillId="0" borderId="1" xfId="0" applyNumberFormat="1" applyFont="1" applyFill="1" applyBorder="1" applyAlignment="1">
      <alignment horizontal="left" vertical="center" wrapText="1" indent="1"/>
    </xf>
    <xf numFmtId="165" fontId="8" fillId="2" borderId="1" xfId="0" applyNumberFormat="1" applyFont="1" applyFill="1" applyBorder="1" applyAlignment="1">
      <alignment horizontal="left" vertical="center" wrapText="1" indent="1"/>
    </xf>
    <xf numFmtId="0" fontId="13" fillId="3" borderId="2" xfId="1" applyBorder="1" applyAlignment="1">
      <alignment vertical="center"/>
    </xf>
    <xf numFmtId="165" fontId="7" fillId="0" borderId="3" xfId="0" applyNumberFormat="1" applyFont="1" applyBorder="1" applyAlignment="1">
      <alignment horizontal="left" vertical="center" indent="1"/>
    </xf>
    <xf numFmtId="165" fontId="8" fillId="0" borderId="4" xfId="0" applyNumberFormat="1" applyFont="1" applyFill="1" applyBorder="1" applyAlignment="1">
      <alignment horizontal="left" vertical="center" wrapText="1" indent="1"/>
    </xf>
    <xf numFmtId="165" fontId="8" fillId="0" borderId="3" xfId="0" applyNumberFormat="1" applyFont="1" applyFill="1" applyBorder="1" applyAlignment="1">
      <alignment horizontal="left" vertical="center" wrapText="1" indent="1"/>
    </xf>
    <xf numFmtId="165" fontId="8" fillId="2" borderId="3" xfId="0" applyNumberFormat="1" applyFont="1" applyFill="1" applyBorder="1" applyAlignment="1">
      <alignment horizontal="left" vertical="center" wrapText="1" indent="1"/>
    </xf>
    <xf numFmtId="165" fontId="8" fillId="2" borderId="4" xfId="0" applyNumberFormat="1" applyFont="1" applyFill="1" applyBorder="1" applyAlignment="1">
      <alignment horizontal="left" vertical="center" wrapText="1" indent="1"/>
    </xf>
    <xf numFmtId="0" fontId="8" fillId="0" borderId="5" xfId="0" applyFont="1" applyFill="1" applyBorder="1" applyAlignment="1">
      <alignment horizontal="left" vertical="center" wrapText="1" indent="1"/>
    </xf>
    <xf numFmtId="0" fontId="6" fillId="0" borderId="0" xfId="0" applyFont="1"/>
    <xf numFmtId="0" fontId="6" fillId="0" borderId="0" xfId="0" applyFont="1" applyFill="1"/>
    <xf numFmtId="165" fontId="8" fillId="2" borderId="6" xfId="0" applyNumberFormat="1"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165" fontId="8" fillId="2" borderId="7" xfId="0" applyNumberFormat="1" applyFont="1" applyFill="1" applyBorder="1" applyAlignment="1">
      <alignment horizontal="left" vertical="center" wrapText="1" indent="1"/>
    </xf>
    <xf numFmtId="0" fontId="10" fillId="3" borderId="3" xfId="1" applyFont="1" applyBorder="1" applyAlignment="1">
      <alignment horizontal="left" vertical="center" wrapText="1" indent="1"/>
    </xf>
    <xf numFmtId="0" fontId="10" fillId="3" borderId="4" xfId="1" applyFont="1" applyBorder="1" applyAlignment="1">
      <alignment horizontal="left" vertical="center" wrapText="1" indent="1"/>
    </xf>
    <xf numFmtId="0" fontId="10" fillId="3" borderId="8" xfId="1" applyFont="1" applyBorder="1" applyAlignment="1">
      <alignment horizontal="left" vertical="center" wrapText="1" indent="1"/>
    </xf>
    <xf numFmtId="0" fontId="11" fillId="3" borderId="8" xfId="1" applyFont="1" applyBorder="1" applyAlignment="1">
      <alignment horizontal="left" vertical="center" wrapText="1" indent="1"/>
    </xf>
    <xf numFmtId="0" fontId="2" fillId="4" borderId="9" xfId="2" applyFont="1" applyBorder="1" applyAlignment="1">
      <alignment horizontal="center" vertical="center"/>
    </xf>
    <xf numFmtId="0" fontId="2" fillId="4" borderId="10" xfId="2" applyFont="1" applyBorder="1" applyAlignment="1">
      <alignment horizontal="center" vertical="center"/>
    </xf>
    <xf numFmtId="0" fontId="2" fillId="4" borderId="11" xfId="2" applyFont="1" applyBorder="1" applyAlignment="1">
      <alignment horizontal="center" vertical="center"/>
    </xf>
    <xf numFmtId="0" fontId="9" fillId="3" borderId="12" xfId="1" applyFont="1" applyBorder="1" applyAlignment="1">
      <alignment horizontal="right" vertical="center" wrapText="1"/>
    </xf>
    <xf numFmtId="0" fontId="2" fillId="4" borderId="13" xfId="2" applyFont="1" applyBorder="1" applyAlignment="1">
      <alignment horizontal="center" vertical="center"/>
    </xf>
    <xf numFmtId="0" fontId="2" fillId="4" borderId="14" xfId="2" applyFont="1" applyBorder="1" applyAlignment="1">
      <alignment horizontal="center" vertical="center"/>
    </xf>
    <xf numFmtId="0" fontId="2" fillId="4" borderId="15" xfId="2" applyFont="1" applyBorder="1" applyAlignment="1">
      <alignment horizontal="center" vertical="center"/>
    </xf>
    <xf numFmtId="0" fontId="4" fillId="0" borderId="25" xfId="0" applyFont="1" applyBorder="1"/>
    <xf numFmtId="0" fontId="18" fillId="5" borderId="26" xfId="0" applyFont="1" applyFill="1" applyBorder="1" applyAlignment="1">
      <alignment horizontal="left" vertical="center" wrapText="1" indent="1"/>
    </xf>
    <xf numFmtId="0" fontId="18" fillId="5" borderId="27" xfId="0" applyFont="1" applyFill="1" applyBorder="1" applyAlignment="1">
      <alignment horizontal="left" vertical="center" wrapText="1" indent="1"/>
    </xf>
    <xf numFmtId="0" fontId="10" fillId="2" borderId="1" xfId="0" applyFont="1" applyFill="1" applyBorder="1" applyAlignment="1">
      <alignment horizontal="center" vertical="center" wrapText="1"/>
    </xf>
    <xf numFmtId="0" fontId="19" fillId="0" borderId="0" xfId="0" applyFont="1" applyAlignment="1">
      <alignment horizontal="left" vertical="center" indent="3"/>
    </xf>
    <xf numFmtId="0" fontId="19" fillId="6" borderId="0" xfId="0" applyFont="1" applyFill="1" applyAlignment="1">
      <alignment horizontal="left" vertical="center" indent="3"/>
    </xf>
    <xf numFmtId="0" fontId="10" fillId="6" borderId="1" xfId="0" applyFont="1" applyFill="1" applyBorder="1" applyAlignment="1">
      <alignment horizontal="left" vertical="center" wrapText="1" indent="1"/>
    </xf>
    <xf numFmtId="16" fontId="0" fillId="0" borderId="0" xfId="0" applyNumberFormat="1"/>
    <xf numFmtId="17" fontId="0" fillId="0" borderId="0" xfId="0" applyNumberFormat="1"/>
    <xf numFmtId="164" fontId="15" fillId="2" borderId="0" xfId="3" applyNumberFormat="1" applyFill="1" applyAlignment="1">
      <alignment horizontal="center" vertical="center"/>
    </xf>
    <xf numFmtId="0" fontId="3" fillId="4" borderId="16" xfId="2" applyFont="1" applyBorder="1" applyAlignment="1">
      <alignment horizontal="left" vertical="center" wrapText="1"/>
    </xf>
    <xf numFmtId="0" fontId="3" fillId="4" borderId="17" xfId="2" applyFont="1" applyBorder="1" applyAlignment="1">
      <alignment horizontal="left" vertical="center" wrapText="1"/>
    </xf>
    <xf numFmtId="0" fontId="3" fillId="4" borderId="18" xfId="2" applyFont="1" applyBorder="1" applyAlignment="1">
      <alignment horizontal="left" vertical="center" wrapText="1"/>
    </xf>
    <xf numFmtId="165" fontId="2" fillId="4" borderId="6" xfId="2" applyNumberFormat="1" applyFont="1" applyBorder="1" applyAlignment="1">
      <alignment horizontal="left" vertical="center" wrapText="1"/>
    </xf>
    <xf numFmtId="165" fontId="14" fillId="4" borderId="6" xfId="2" applyNumberFormat="1" applyBorder="1" applyAlignment="1">
      <alignment horizontal="left" vertical="center" wrapText="1"/>
    </xf>
    <xf numFmtId="165" fontId="14" fillId="4" borderId="19" xfId="2" applyNumberFormat="1" applyBorder="1" applyAlignment="1">
      <alignment horizontal="left" vertical="center" wrapText="1"/>
    </xf>
    <xf numFmtId="0" fontId="3" fillId="4" borderId="20" xfId="2" applyFont="1" applyBorder="1" applyAlignment="1">
      <alignment horizontal="left" vertical="center" wrapText="1"/>
    </xf>
    <xf numFmtId="165" fontId="2" fillId="4" borderId="22" xfId="2" applyNumberFormat="1" applyFont="1" applyBorder="1" applyAlignment="1">
      <alignment horizontal="left" vertical="center" wrapText="1"/>
    </xf>
    <xf numFmtId="165" fontId="2" fillId="4" borderId="23" xfId="2" applyNumberFormat="1" applyFont="1" applyBorder="1" applyAlignment="1">
      <alignment horizontal="left" vertical="center" wrapText="1"/>
    </xf>
    <xf numFmtId="165" fontId="2" fillId="4" borderId="24" xfId="2" applyNumberFormat="1" applyFont="1" applyBorder="1" applyAlignment="1">
      <alignment horizontal="left" vertical="center" wrapText="1"/>
    </xf>
    <xf numFmtId="0" fontId="19" fillId="0" borderId="0" xfId="0" applyFont="1" applyFill="1" applyAlignment="1">
      <alignment horizontal="left" vertical="center" indent="3"/>
    </xf>
    <xf numFmtId="0" fontId="0" fillId="0" borderId="0" xfId="0" applyAlignment="1">
      <alignment horizontal="right"/>
    </xf>
    <xf numFmtId="0" fontId="10" fillId="0" borderId="4" xfId="1" applyFont="1" applyFill="1" applyBorder="1" applyAlignment="1">
      <alignment horizontal="left" vertical="center" wrapText="1" indent="1"/>
    </xf>
  </cellXfs>
  <cellStyles count="80">
    <cellStyle name="40% - Colore1" xfId="1" builtinId="31"/>
    <cellStyle name="Collegamento ipertestuale" xfId="4" builtinId="8" hidden="1"/>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xfId="26" builtinId="8" hidden="1"/>
    <cellStyle name="Collegamento ipertestuale" xfId="28" builtinId="8" hidden="1"/>
    <cellStyle name="Collegamento ipertestuale" xfId="30" builtinId="8" hidden="1"/>
    <cellStyle name="Collegamento ipertestuale" xfId="32" builtinId="8" hidden="1"/>
    <cellStyle name="Collegamento ipertestuale" xfId="34" builtinId="8" hidden="1"/>
    <cellStyle name="Collegamento ipertestuale" xfId="36" builtinId="8" hidden="1"/>
    <cellStyle name="Collegamento ipertestuale" xfId="38" builtinId="8" hidden="1"/>
    <cellStyle name="Collegamento ipertestuale" xfId="40" builtinId="8" hidden="1"/>
    <cellStyle name="Collegamento ipertestuale" xfId="42" builtinId="8" hidden="1"/>
    <cellStyle name="Collegamento ipertestuale" xfId="44" builtinId="8" hidden="1"/>
    <cellStyle name="Collegamento ipertestuale" xfId="46" builtinId="8" hidden="1"/>
    <cellStyle name="Collegamento ipertestuale" xfId="48" builtinId="8" hidden="1"/>
    <cellStyle name="Collegamento ipertestuale" xfId="50" builtinId="8" hidden="1"/>
    <cellStyle name="Collegamento ipertestuale" xfId="52" builtinId="8" hidden="1"/>
    <cellStyle name="Collegamento ipertestuale" xfId="54" builtinId="8" hidden="1"/>
    <cellStyle name="Collegamento ipertestuale" xfId="56" builtinId="8" hidden="1"/>
    <cellStyle name="Collegamento ipertestuale" xfId="58" builtinId="8" hidden="1"/>
    <cellStyle name="Collegamento ipertestuale" xfId="60" builtinId="8" hidden="1"/>
    <cellStyle name="Collegamento ipertestuale" xfId="62" builtinId="8" hidden="1"/>
    <cellStyle name="Collegamento ipertestuale" xfId="64" builtinId="8" hidden="1"/>
    <cellStyle name="Collegamento ipertestuale" xfId="66" builtinId="8" hidden="1"/>
    <cellStyle name="Collegamento ipertestuale" xfId="68" builtinId="8" hidden="1"/>
    <cellStyle name="Collegamento ipertestuale" xfId="70" builtinId="8" hidden="1"/>
    <cellStyle name="Collegamento ipertestuale" xfId="72" builtinId="8" hidden="1"/>
    <cellStyle name="Collegamento ipertestuale" xfId="74" builtinId="8" hidden="1"/>
    <cellStyle name="Collegamento ipertestuale" xfId="76" builtinId="8" hidden="1"/>
    <cellStyle name="Collegamento ipertestuale" xfId="78" builtinId="8" hidden="1"/>
    <cellStyle name="Collegamento visitato" xfId="5" builtinId="9" hidden="1"/>
    <cellStyle name="Collegamento visitato" xfId="7" builtinId="9" hidden="1"/>
    <cellStyle name="Collegamento visitato" xfId="9" builtinId="9" hidden="1"/>
    <cellStyle name="Collegamento visitato" xfId="11" builtinId="9" hidden="1"/>
    <cellStyle name="Collegamento visitato" xfId="13" builtinId="9" hidden="1"/>
    <cellStyle name="Collegamento visitato" xfId="15" builtinId="9" hidden="1"/>
    <cellStyle name="Collegamento visitato" xfId="17" builtinId="9" hidden="1"/>
    <cellStyle name="Collegamento visitato" xfId="19" builtinId="9" hidden="1"/>
    <cellStyle name="Collegamento visitato" xfId="21" builtinId="9" hidden="1"/>
    <cellStyle name="Collegamento visitato" xfId="23" builtinId="9" hidden="1"/>
    <cellStyle name="Collegamento visitato" xfId="25" builtinId="9" hidden="1"/>
    <cellStyle name="Collegamento visitato" xfId="27" builtinId="9" hidden="1"/>
    <cellStyle name="Collegamento visitato" xfId="29" builtinId="9" hidden="1"/>
    <cellStyle name="Collegamento visitato" xfId="31" builtinId="9" hidden="1"/>
    <cellStyle name="Collegamento visitato" xfId="33" builtinId="9" hidden="1"/>
    <cellStyle name="Collegamento visitato" xfId="35" builtinId="9" hidden="1"/>
    <cellStyle name="Collegamento visitato" xfId="37" builtinId="9" hidden="1"/>
    <cellStyle name="Collegamento visitato" xfId="39" builtinId="9" hidden="1"/>
    <cellStyle name="Collegamento visitato" xfId="41" builtinId="9" hidden="1"/>
    <cellStyle name="Collegamento visitato" xfId="43" builtinId="9" hidden="1"/>
    <cellStyle name="Collegamento visitato" xfId="45" builtinId="9" hidden="1"/>
    <cellStyle name="Collegamento visitato" xfId="47" builtinId="9" hidden="1"/>
    <cellStyle name="Collegamento visitato" xfId="49" builtinId="9" hidden="1"/>
    <cellStyle name="Collegamento visitato" xfId="51" builtinId="9" hidden="1"/>
    <cellStyle name="Collegamento visitato" xfId="53" builtinId="9" hidden="1"/>
    <cellStyle name="Collegamento visitato" xfId="55" builtinId="9" hidden="1"/>
    <cellStyle name="Collegamento visitato" xfId="57" builtinId="9" hidden="1"/>
    <cellStyle name="Collegamento visitato" xfId="59" builtinId="9" hidden="1"/>
    <cellStyle name="Collegamento visitato" xfId="61" builtinId="9" hidden="1"/>
    <cellStyle name="Collegamento visitato" xfId="63" builtinId="9" hidden="1"/>
    <cellStyle name="Collegamento visitato" xfId="65" builtinId="9" hidden="1"/>
    <cellStyle name="Collegamento visitato" xfId="67" builtinId="9" hidden="1"/>
    <cellStyle name="Collegamento visitato" xfId="69" builtinId="9" hidden="1"/>
    <cellStyle name="Collegamento visitato" xfId="71" builtinId="9" hidden="1"/>
    <cellStyle name="Collegamento visitato" xfId="73" builtinId="9" hidden="1"/>
    <cellStyle name="Collegamento visitato" xfId="75" builtinId="9" hidden="1"/>
    <cellStyle name="Collegamento visitato" xfId="77" builtinId="9" hidden="1"/>
    <cellStyle name="Collegamento visitato" xfId="79" builtinId="9" hidden="1"/>
    <cellStyle name="Colore1" xfId="2" builtinId="29"/>
    <cellStyle name="Normale" xfId="0" builtinId="0"/>
    <cellStyle name="Titolo 1" xfId="3" builtinId="16"/>
  </cellStyles>
  <dxfs count="1">
    <dxf>
      <font>
        <b val="0"/>
        <i val="0"/>
        <strike val="0"/>
        <condense val="0"/>
        <extend val="0"/>
        <outline val="0"/>
        <shadow val="0"/>
        <u val="none"/>
        <vertAlign val="baseline"/>
        <sz val="11"/>
        <color auto="1"/>
        <name val="Century Gothic"/>
        <scheme val="none"/>
      </font>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ables/table1.xml><?xml version="1.0" encoding="utf-8"?>
<table xmlns="http://schemas.openxmlformats.org/spreadsheetml/2006/main" id="1" name="YearLookup" displayName="YearLookup" ref="A1:A9" totalsRowShown="0">
  <autoFilter ref="A1:A9"/>
  <tableColumns count="1">
    <tableColumn id="1" name="Anno" dataDxfId="0"/>
  </tableColumns>
  <tableStyleInfo name="TableStyleMedium23"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pothecary">
  <a:themeElements>
    <a:clrScheme name="Apothecary">
      <a:dk1>
        <a:sysClr val="windowText" lastClr="000000"/>
      </a:dk1>
      <a:lt1>
        <a:sysClr val="window" lastClr="FFFFFF"/>
      </a:lt1>
      <a:dk2>
        <a:srgbClr val="564B3C"/>
      </a:dk2>
      <a:lt2>
        <a:srgbClr val="ECEDD1"/>
      </a:lt2>
      <a:accent1>
        <a:srgbClr val="93A299"/>
      </a:accent1>
      <a:accent2>
        <a:srgbClr val="CF543F"/>
      </a:accent2>
      <a:accent3>
        <a:srgbClr val="B5AE53"/>
      </a:accent3>
      <a:accent4>
        <a:srgbClr val="848058"/>
      </a:accent4>
      <a:accent5>
        <a:srgbClr val="E8B54D"/>
      </a:accent5>
      <a:accent6>
        <a:srgbClr val="786C71"/>
      </a:accent6>
      <a:hlink>
        <a:srgbClr val="CCCC00"/>
      </a:hlink>
      <a:folHlink>
        <a:srgbClr val="B2B2B2"/>
      </a:folHlink>
    </a:clrScheme>
    <a:fontScheme name="Calendar">
      <a:majorFont>
        <a:latin typeface="Century Gothic"/>
        <a:ea typeface=""/>
        <a:cs typeface=""/>
      </a:majorFont>
      <a:minorFont>
        <a:latin typeface="Century Gothic"/>
        <a:ea typeface=""/>
        <a:cs typeface=""/>
      </a:minorFont>
    </a:fontScheme>
    <a:fmtScheme name="Apothecary">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3000"/>
            <a:satMod val="140000"/>
          </a:schemeClr>
        </a:solidFill>
        <a:blipFill rotWithShape="1">
          <a:blip xmlns:r="http://schemas.openxmlformats.org/officeDocument/2006/relationships" r:embed="rId1">
            <a:duotone>
              <a:schemeClr val="phClr">
                <a:tint val="70000"/>
                <a:satMod val="170000"/>
              </a:schemeClr>
              <a:schemeClr val="phClr">
                <a:shade val="70000"/>
                <a:satMod val="13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1.x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14"/>
  <sheetViews>
    <sheetView showGridLines="0" workbookViewId="0">
      <selection activeCell="J1" sqref="J1"/>
    </sheetView>
  </sheetViews>
  <sheetFormatPr baseColWidth="10" defaultColWidth="8.7109375" defaultRowHeight="13" x14ac:dyDescent="0"/>
  <cols>
    <col min="1" max="1" width="2.42578125" style="1" customWidth="1"/>
    <col min="2" max="8" width="17.5703125" style="4" customWidth="1"/>
    <col min="9" max="9" width="8.7109375" style="4"/>
    <col min="10" max="10" width="15.28515625" style="4" customWidth="1"/>
    <col min="11" max="11" width="16.7109375" style="4" customWidth="1"/>
    <col min="12" max="16384" width="8.7109375" style="4"/>
  </cols>
  <sheetData>
    <row r="1" spans="1:11" s="1" customFormat="1" ht="59.25" customHeight="1" thickBot="1">
      <c r="B1" s="41">
        <f>DATE(CalendarYear,1,1)</f>
        <v>42736</v>
      </c>
      <c r="C1" s="41"/>
      <c r="D1" s="41"/>
      <c r="E1" s="41"/>
      <c r="F1" s="41"/>
      <c r="G1" s="41"/>
      <c r="H1" s="41"/>
      <c r="J1" s="28" t="s">
        <v>9</v>
      </c>
      <c r="K1" s="7">
        <v>2017</v>
      </c>
    </row>
    <row r="2" spans="1:11" s="3" customFormat="1" ht="21.75" customHeight="1">
      <c r="A2" s="2"/>
      <c r="B2" s="25" t="s">
        <v>0</v>
      </c>
      <c r="C2" s="26" t="s">
        <v>1</v>
      </c>
      <c r="D2" s="26" t="s">
        <v>2</v>
      </c>
      <c r="E2" s="26" t="s">
        <v>3</v>
      </c>
      <c r="F2" s="26" t="s">
        <v>4</v>
      </c>
      <c r="G2" s="26" t="s">
        <v>5</v>
      </c>
      <c r="H2" s="27" t="s">
        <v>6</v>
      </c>
    </row>
    <row r="3" spans="1:11" ht="14" customHeight="1">
      <c r="B3" s="8">
        <f>IF(AND(YEAR(JanSun1)=CalendarYear,MONTH(JanSun1)=1),JanSun1, "")</f>
        <v>42736</v>
      </c>
      <c r="C3" s="5">
        <f>IF(AND(YEAR(JanSun1+1)=CalendarYear,MONTH(JanSun1+1)=1),JanSun1+1, "")</f>
        <v>42737</v>
      </c>
      <c r="D3" s="5">
        <f>IF(AND(YEAR(JanSun1+2)=CalendarYear,MONTH(JanSun1+2)=1),JanSun1+2, "")</f>
        <v>42738</v>
      </c>
      <c r="E3" s="5">
        <f>IF(AND(YEAR(JanSun1+3)=CalendarYear,MONTH(JanSun1+3)=1),JanSun1+3, "")</f>
        <v>42739</v>
      </c>
      <c r="F3" s="5">
        <f>IF(AND(YEAR(JanSun1+4)=CalendarYear,MONTH(JanSun1+4)=1),JanSun1+4, "")</f>
        <v>42740</v>
      </c>
      <c r="G3" s="5">
        <f>IF(AND(YEAR(JanSun1+5)=CalendarYear,MONTH(JanSun1+5)=1),JanSun1+5, "")</f>
        <v>42741</v>
      </c>
      <c r="H3" s="9">
        <f>IF(AND(YEAR(JanSun1+6)=CalendarYear,MONTH(JanSun1+6)=1),JanSun1+6, "")</f>
        <v>42742</v>
      </c>
    </row>
    <row r="4" spans="1:11" ht="57.75" customHeight="1">
      <c r="B4" s="21" t="s">
        <v>7</v>
      </c>
      <c r="C4" s="17"/>
      <c r="D4" s="18"/>
      <c r="E4" s="18"/>
      <c r="F4" s="18"/>
      <c r="G4" s="18"/>
      <c r="H4" s="22"/>
    </row>
    <row r="5" spans="1:11" ht="14" customHeight="1">
      <c r="B5" s="10">
        <f>IF(AND(YEAR(JanSun1+7)=CalendarYear,MONTH(JanSun1+7)=1),JanSun1+7, "")</f>
        <v>42743</v>
      </c>
      <c r="C5" s="5">
        <f>IF(AND(YEAR(JanSun1+8)=CalendarYear,MONTH(JanSun1+8)=1),JanSun1+8, "")</f>
        <v>42744</v>
      </c>
      <c r="D5" s="5">
        <f>IF(AND(YEAR(JanSun1+9)=CalendarYear,MONTH(JanSun1+9)=1),JanSun1+9, "")</f>
        <v>42745</v>
      </c>
      <c r="E5" s="5">
        <f>IF(AND(YEAR(JanSun1+10)=CalendarYear,MONTH(JanSun1+10)=1),JanSun1+10, "")</f>
        <v>42746</v>
      </c>
      <c r="F5" s="5">
        <f>IF(AND(YEAR(JanSun1+11)=CalendarYear,MONTH(JanSun1+11)=1),JanSun1+11, "")</f>
        <v>42747</v>
      </c>
      <c r="G5" s="5">
        <f>IF(AND(YEAR(JanSun1+12)=CalendarYear,MONTH(JanSun1+12)=1),JanSun1+12,"")</f>
        <v>42748</v>
      </c>
      <c r="H5" s="9">
        <f>IF(AND(YEAR(JanSun1+13)=CalendarYear,MONTH(JanSun1+13)=1),JanSun1+13, "")</f>
        <v>42749</v>
      </c>
    </row>
    <row r="6" spans="1:11" ht="57.75" customHeight="1">
      <c r="B6" s="21"/>
      <c r="C6" s="17"/>
      <c r="D6" s="18"/>
      <c r="E6" s="18"/>
      <c r="F6" s="18"/>
      <c r="G6" s="18"/>
      <c r="H6" s="22"/>
    </row>
    <row r="7" spans="1:11" ht="14" customHeight="1">
      <c r="B7" s="10">
        <f>IF(AND(YEAR(JanSun1+14)=CalendarYear,MONTH(JanSun1+14)=1),JanSun1+14, "")</f>
        <v>42750</v>
      </c>
      <c r="C7" s="5">
        <f>IF(AND(YEAR(JanSun1+15)=CalendarYear,MONTH(JanSun1+15)=1),JanSun1+15, "")</f>
        <v>42751</v>
      </c>
      <c r="D7" s="5">
        <f>IF(AND(YEAR(JanSun1+16)=CalendarYear,MONTH(JanSun1+16)=1),JanSun1+16, "")</f>
        <v>42752</v>
      </c>
      <c r="E7" s="5">
        <f>IF(AND(YEAR(JanSun1+17)=CalendarYear,MONTH(JanSun1+17)=1),JanSun1+17, "")</f>
        <v>42753</v>
      </c>
      <c r="F7" s="5">
        <f>IF(AND(YEAR(JanSun1+18)=CalendarYear,MONTH(JanSun1+18)=1),JanSun1+18, "")</f>
        <v>42754</v>
      </c>
      <c r="G7" s="5">
        <f>IF(AND(YEAR(JanSun1+19)=CalendarYear,MONTH(JanSun1+19)=1),JanSun1+19, "")</f>
        <v>42755</v>
      </c>
      <c r="H7" s="9">
        <f>IF(AND(YEAR(JanSun1+20)=CalendarYear,MONTH(JanSun1+20)=1),JanSun1+20, "")</f>
        <v>42756</v>
      </c>
    </row>
    <row r="8" spans="1:11" ht="57.75" customHeight="1">
      <c r="B8" s="21"/>
      <c r="C8" s="17"/>
      <c r="D8" s="18"/>
      <c r="E8" s="18"/>
      <c r="F8" s="18"/>
      <c r="G8" s="18"/>
      <c r="H8" s="22"/>
    </row>
    <row r="9" spans="1:11" ht="14" customHeight="1">
      <c r="B9" s="11">
        <f>IF(AND(YEAR(JanSun1+21)=CalendarYear,MONTH(JanSun1+21)=1),JanSun1+21, "")</f>
        <v>42757</v>
      </c>
      <c r="C9" s="6">
        <f>IF(AND(YEAR(JanSun1+22)=CalendarYear,MONTH(JanSun1+22)=1),JanSun1+22, "")</f>
        <v>42758</v>
      </c>
      <c r="D9" s="6">
        <f>IF(AND(YEAR(JanSun1+23)=CalendarYear,MONTH(JanSun1+23)=1),JanSun1+23, "")</f>
        <v>42759</v>
      </c>
      <c r="E9" s="6">
        <f>IF(AND(YEAR(JanSun1+24)=CalendarYear,MONTH(JanSun1+24)=1),JanSun1+24, "")</f>
        <v>42760</v>
      </c>
      <c r="F9" s="6">
        <f>IF(AND(YEAR(JanSun1+25)=CalendarYear,MONTH(JanSun1+25)=1),JanSun1+25, "")</f>
        <v>42761</v>
      </c>
      <c r="G9" s="6">
        <f>IF(AND(YEAR(JanSun1+26)=CalendarYear,MONTH(JanSun1+26)=1),JanSun1+26, "")</f>
        <v>42762</v>
      </c>
      <c r="H9" s="12">
        <f>IF(AND(YEAR(JanSun1+27)=CalendarYear,MONTH(JanSun1+27)=1),JanSun1+27, "")</f>
        <v>42763</v>
      </c>
    </row>
    <row r="10" spans="1:11" ht="57.75" customHeight="1">
      <c r="B10" s="21"/>
      <c r="C10" s="17"/>
      <c r="D10" s="18"/>
      <c r="E10" s="18"/>
      <c r="F10" s="18"/>
      <c r="G10" s="18"/>
      <c r="H10" s="22"/>
    </row>
    <row r="11" spans="1:11" ht="14" customHeight="1">
      <c r="B11" s="11">
        <f>IF(AND(YEAR(JanSun1+28)=CalendarYear,MONTH(JanSun1+28)=1),JanSun1+28, "")</f>
        <v>42764</v>
      </c>
      <c r="C11" s="6">
        <f>IF(AND(YEAR(JanSun1+29)=CalendarYear,MONTH(JanSun1+29)=1),JanSun1+29, "")</f>
        <v>42765</v>
      </c>
      <c r="D11" s="6">
        <f>IF(AND(YEAR(JanSun1+30)=CalendarYear,MONTH(JanSun1+30)=1),JanSun1+30, "")</f>
        <v>42766</v>
      </c>
      <c r="E11" s="6" t="str">
        <f>IF(AND(YEAR(JanSun1+31)=CalendarYear,MONTH(JanSun1+31)=1),JanSun1+31, "")</f>
        <v/>
      </c>
      <c r="F11" s="6" t="str">
        <f>IF(AND(YEAR(JanSun1+32)=CalendarYear,MONTH(JanSun1+32)=1),JanSun1+32, "")</f>
        <v/>
      </c>
      <c r="G11" s="6" t="str">
        <f>IF(AND(YEAR(JanSun1+33)=CalendarYear,MONTH(JanSun1+33)=1),JanSun1+33, "")</f>
        <v/>
      </c>
      <c r="H11" s="12" t="str">
        <f>IF(AND(YEAR(JanSun1+34)=CalendarYear,MONTH(JanSun1+34)=1),JanSun1+34, "")</f>
        <v/>
      </c>
    </row>
    <row r="12" spans="1:11" ht="57.75" customHeight="1">
      <c r="B12" s="21"/>
      <c r="C12" s="17"/>
      <c r="D12" s="18"/>
      <c r="E12" s="18"/>
      <c r="F12" s="17"/>
      <c r="G12" s="17"/>
      <c r="H12" s="22"/>
    </row>
    <row r="13" spans="1:11" ht="14" customHeight="1">
      <c r="B13" s="11" t="str">
        <f>IF(AND(YEAR(JanSun1+35)=CalendarYear,MONTH(JanSun1+35)=1),JanSun1+35, "")</f>
        <v/>
      </c>
      <c r="C13" s="6" t="str">
        <f>IF(AND(YEAR(JanSun1+36)=CalendarYear,MONTH(JanSun1+36)=1),JanSun1+36, "")</f>
        <v/>
      </c>
      <c r="D13" s="45" t="s">
        <v>8</v>
      </c>
      <c r="E13" s="46"/>
      <c r="F13" s="46"/>
      <c r="G13" s="46"/>
      <c r="H13" s="47"/>
    </row>
    <row r="14" spans="1:11" ht="57.75" customHeight="1" thickBot="1">
      <c r="B14" s="23"/>
      <c r="C14" s="19"/>
      <c r="D14" s="42"/>
      <c r="E14" s="43"/>
      <c r="F14" s="43"/>
      <c r="G14" s="43"/>
      <c r="H14" s="44"/>
    </row>
  </sheetData>
  <mergeCells count="3">
    <mergeCell ref="B1:H1"/>
    <mergeCell ref="D14:H14"/>
    <mergeCell ref="D13:H13"/>
  </mergeCells>
  <phoneticPr fontId="1" type="noConversion"/>
  <dataValidations count="1">
    <dataValidation type="list" allowBlank="1" showInputMessage="1" showErrorMessage="1" sqref="K1">
      <formula1>Year</formula1>
    </dataValidation>
  </dataValidations>
  <printOptions horizontalCentered="1"/>
  <pageMargins left="0.5" right="0.5" top="0.75" bottom="0.75" header="0.5" footer="0.5"/>
  <customProperties>
    <customPr name="SheetChanged" r:id="rId1"/>
  </customPropertie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9"/>
  <sheetViews>
    <sheetView showGridLines="0" topLeftCell="A12" workbookViewId="0">
      <selection activeCell="D13" sqref="D13"/>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41">
        <f>DATE(CalendarYear,2,1)</f>
        <v>42767</v>
      </c>
      <c r="C1" s="41"/>
      <c r="D1" s="41"/>
      <c r="E1" s="41"/>
      <c r="F1" s="41"/>
      <c r="G1" s="41"/>
      <c r="H1" s="41"/>
    </row>
    <row r="2" spans="1:8" s="3" customFormat="1" ht="21.75" customHeight="1">
      <c r="A2" s="2"/>
      <c r="B2" s="29" t="s">
        <v>0</v>
      </c>
      <c r="C2" s="30" t="s">
        <v>1</v>
      </c>
      <c r="D2" s="30" t="s">
        <v>2</v>
      </c>
      <c r="E2" s="30" t="s">
        <v>3</v>
      </c>
      <c r="F2" s="30" t="s">
        <v>4</v>
      </c>
      <c r="G2" s="30" t="s">
        <v>5</v>
      </c>
      <c r="H2" s="31" t="s">
        <v>6</v>
      </c>
    </row>
    <row r="3" spans="1:8" ht="14" customHeight="1">
      <c r="B3" s="8" t="str">
        <f>IF(AND(YEAR(FebSun1)=CalendarYear,MONTH(FebSun1)=2),FebSun1, "")</f>
        <v/>
      </c>
      <c r="C3" s="5" t="str">
        <f>IF(AND(YEAR(FebSun1+1)=CalendarYear,MONTH(FebSun1+1)=2),FebSun1+1, "")</f>
        <v/>
      </c>
      <c r="D3" s="5" t="str">
        <f>IF(AND(YEAR(FebSun1+2)=CalendarYear,MONTH(FebSun1+2)=2),FebSun1+2, "")</f>
        <v/>
      </c>
      <c r="E3" s="5">
        <f>IF(AND(YEAR(FebSun1+3)=CalendarYear,MONTH(FebSun1+3)=2),FebSun1+3, "")</f>
        <v>42767</v>
      </c>
      <c r="F3" s="5">
        <f>IF(AND(YEAR(FebSun1+4)=CalendarYear,MONTH(FebSun1+4)=2),FebSun1+4, "")</f>
        <v>42768</v>
      </c>
      <c r="G3" s="5">
        <f>IF(AND(YEAR(FebSun1+5)=CalendarYear,MONTH(FebSun1+5)=2),FebSun1+5, "")</f>
        <v>42769</v>
      </c>
      <c r="H3" s="9">
        <f>IF(AND(YEAR(FebSun1+6)=CalendarYear,MONTH(FebSun1+6)=2),FebSun1+6, "")</f>
        <v>42770</v>
      </c>
    </row>
    <row r="4" spans="1:8" ht="57.75" customHeight="1">
      <c r="B4" s="21" t="s">
        <v>13</v>
      </c>
      <c r="C4" s="17"/>
      <c r="D4" s="18"/>
      <c r="E4" s="18"/>
      <c r="G4" s="18"/>
      <c r="H4" s="22"/>
    </row>
    <row r="5" spans="1:8" ht="57.75" customHeight="1">
      <c r="B5" s="21" t="s">
        <v>14</v>
      </c>
      <c r="C5" s="17"/>
      <c r="D5" s="18"/>
      <c r="E5" s="18"/>
      <c r="F5" s="32"/>
      <c r="G5" s="18"/>
      <c r="H5" s="22"/>
    </row>
    <row r="6" spans="1:8" ht="14" customHeight="1">
      <c r="B6" s="10">
        <f>IF(AND(YEAR(FebSun1+7)=CalendarYear,MONTH(FebSun1+7)=2),FebSun1+7, "")</f>
        <v>42771</v>
      </c>
      <c r="C6" s="5">
        <f>IF(AND(YEAR(FebSun1+8)=CalendarYear,MONTH(FebSun1+8)=2),FebSun1+8, "")</f>
        <v>42772</v>
      </c>
      <c r="D6" s="5">
        <f>IF(AND(YEAR(FebSun1+9)=CalendarYear,MONTH(FebSun1+9)=2),FebSun1+9, "")</f>
        <v>42773</v>
      </c>
      <c r="E6" s="5">
        <f>IF(AND(YEAR(FebSun1+10)=CalendarYear,MONTH(FebSun1+10)=2),FebSun1+10, "")</f>
        <v>42774</v>
      </c>
      <c r="F6" s="5">
        <f>IF(AND(YEAR(FebSun1+11)=CalendarYear,MONTH(FebSun1+11)=2),FebSun1+11, "")</f>
        <v>42775</v>
      </c>
      <c r="G6" s="5">
        <f>IF(AND(YEAR(FebSun1+12)=CalendarYear,MONTH(FebSun1+12)=2),FebSun1+12,"")</f>
        <v>42776</v>
      </c>
      <c r="H6" s="9">
        <f>IF(AND(YEAR(FebSun1+13)=CalendarYear,MONTH(FebSun1+13)=2),FebSun1+13, "")</f>
        <v>42777</v>
      </c>
    </row>
    <row r="7" spans="1:8" ht="57.75" customHeight="1">
      <c r="B7" s="21" t="s">
        <v>13</v>
      </c>
      <c r="C7" s="17"/>
      <c r="D7" s="18"/>
      <c r="E7" s="18"/>
      <c r="F7" s="18"/>
      <c r="G7" s="18"/>
      <c r="H7" s="22"/>
    </row>
    <row r="8" spans="1:8" ht="57.75" customHeight="1">
      <c r="B8" s="21" t="s">
        <v>14</v>
      </c>
      <c r="C8" s="17"/>
      <c r="D8" s="18"/>
      <c r="E8" s="18"/>
      <c r="F8" s="18"/>
      <c r="G8" s="18"/>
      <c r="H8" s="22"/>
    </row>
    <row r="9" spans="1:8" ht="14" customHeight="1">
      <c r="B9" s="10">
        <f>IF(AND(YEAR(FebSun1+14)=CalendarYear,MONTH(FebSun1+14)=2),FebSun1+14, "")</f>
        <v>42778</v>
      </c>
      <c r="C9" s="5">
        <f>IF(AND(YEAR(FebSun1+15)=CalendarYear,MONTH(FebSun1+15)=2),FebSun1+15, "")</f>
        <v>42779</v>
      </c>
      <c r="D9" s="5">
        <f>IF(AND(YEAR(FebSun1+16)=CalendarYear,MONTH(FebSun1+16)=2),FebSun1+16, "")</f>
        <v>42780</v>
      </c>
      <c r="E9" s="5">
        <f>IF(AND(YEAR(FebSun1+17)=CalendarYear,MONTH(FebSun1+17)=2),FebSun1+17, "")</f>
        <v>42781</v>
      </c>
      <c r="F9" s="5">
        <f>IF(AND(YEAR(FebSun1+18)=CalendarYear,MONTH(FebSun1+18)=2),FebSun1+18, "")</f>
        <v>42782</v>
      </c>
      <c r="G9" s="5">
        <f>IF(AND(YEAR(FebSun1+19)=CalendarYear,MONTH(FebSun1+19)=2),FebSun1+19, "")</f>
        <v>42783</v>
      </c>
      <c r="H9" s="9">
        <f>IF(AND(YEAR(FebSun1+20)=CalendarYear,MONTH(FebSun1+20)=2),FebSun1+20, "")</f>
        <v>42784</v>
      </c>
    </row>
    <row r="10" spans="1:8" ht="57.75" customHeight="1">
      <c r="B10" s="21" t="s">
        <v>13</v>
      </c>
      <c r="C10" s="17"/>
      <c r="D10" s="18"/>
      <c r="E10" s="18"/>
      <c r="F10" s="18" t="s">
        <v>27</v>
      </c>
      <c r="G10" s="18"/>
      <c r="H10" s="22"/>
    </row>
    <row r="11" spans="1:8" ht="57.75" customHeight="1">
      <c r="B11" s="21" t="s">
        <v>14</v>
      </c>
      <c r="C11" s="17"/>
      <c r="D11" s="18"/>
      <c r="E11" s="18"/>
      <c r="F11" s="18" t="s">
        <v>26</v>
      </c>
      <c r="G11" s="18"/>
      <c r="H11" s="22"/>
    </row>
    <row r="12" spans="1:8" ht="14" customHeight="1">
      <c r="B12" s="11">
        <f>IF(AND(YEAR(FebSun1+21)=CalendarYear,MONTH(FebSun1+21)=2),FebSun1+21, "")</f>
        <v>42785</v>
      </c>
      <c r="C12" s="6">
        <f>IF(AND(YEAR(FebSun1+22)=CalendarYear,MONTH(FebSun1+22)=2),FebSun1+22, "")</f>
        <v>42786</v>
      </c>
      <c r="D12" s="6">
        <f>IF(AND(YEAR(FebSun1+23)=CalendarYear,MONTH(FebSun1+23)=2),FebSun1+23, "")</f>
        <v>42787</v>
      </c>
      <c r="E12" s="6">
        <f>IF(AND(YEAR(FebSun1+24)=CalendarYear,MONTH(FebSun1+24)=2),FebSun1+24, "")</f>
        <v>42788</v>
      </c>
      <c r="F12" s="6">
        <f>IF(AND(YEAR(FebSun1+25)=CalendarYear,MONTH(FebSun1+25)=2),FebSun1+25, "")</f>
        <v>42789</v>
      </c>
      <c r="G12" s="6">
        <f>IF(AND(YEAR(FebSun1+26)=CalendarYear,MONTH(FebSun1+26)=2),FebSun1+26, "")</f>
        <v>42790</v>
      </c>
      <c r="H12" s="12">
        <f>IF(AND(YEAR(FebSun1+27)=CalendarYear,MONTH(FebSun1+27)=2),FebSun1+27, "")</f>
        <v>42791</v>
      </c>
    </row>
    <row r="13" spans="1:8" ht="57.75" customHeight="1">
      <c r="B13" s="21" t="s">
        <v>13</v>
      </c>
      <c r="C13" s="17"/>
      <c r="D13" s="38"/>
      <c r="E13" s="18"/>
      <c r="F13" s="18" t="s">
        <v>16</v>
      </c>
      <c r="G13" s="18"/>
      <c r="H13" s="22"/>
    </row>
    <row r="14" spans="1:8" ht="57.75" customHeight="1">
      <c r="B14" s="21" t="s">
        <v>14</v>
      </c>
      <c r="C14" s="17"/>
      <c r="D14" s="38" t="s">
        <v>105</v>
      </c>
      <c r="E14" s="18"/>
      <c r="F14" s="18" t="s">
        <v>18</v>
      </c>
      <c r="G14" s="18"/>
      <c r="H14" s="22"/>
    </row>
    <row r="15" spans="1:8" ht="14" customHeight="1">
      <c r="B15" s="11">
        <f>IF(AND(YEAR(FebSun1+28)=CalendarYear,MONTH(FebSun1+28)=2),FebSun1+28, "")</f>
        <v>42792</v>
      </c>
      <c r="C15" s="6">
        <f>IF(AND(YEAR(FebSun1+29)=CalendarYear,MONTH(FebSun1+29)=2),FebSun1+29, "")</f>
        <v>42793</v>
      </c>
      <c r="D15" s="6">
        <f>IF(AND(YEAR(FebSun1+30)=CalendarYear,MONTH(FebSun1+30)=2),FebSun1+30, "")</f>
        <v>42794</v>
      </c>
      <c r="E15" s="6" t="str">
        <f>IF(AND(YEAR(FebSun1+31)=CalendarYear,MONTH(FebSun1+31)=2),FebSun1+31, "")</f>
        <v/>
      </c>
      <c r="F15" s="6" t="str">
        <f>IF(AND(YEAR(FebSun1+32)=CalendarYear,MONTH(FebSun1+32)=2),FebSun1+32, "")</f>
        <v/>
      </c>
      <c r="G15" s="6" t="str">
        <f>IF(AND(YEAR(FebSun1+33)=CalendarYear,MONTH(FebSun1+33)=2),FebSun1+33, "")</f>
        <v/>
      </c>
      <c r="H15" s="12" t="str">
        <f>IF(AND(YEAR(FebSun1+34)=CalendarYear,MONTH(FebSun1+34)=2),FebSun1+34, "")</f>
        <v/>
      </c>
    </row>
    <row r="16" spans="1:8" ht="57.75" customHeight="1">
      <c r="B16" s="21" t="s">
        <v>15</v>
      </c>
      <c r="C16" s="17"/>
      <c r="D16" s="38"/>
      <c r="E16" s="18"/>
      <c r="F16" s="17"/>
      <c r="G16" s="17"/>
      <c r="H16" s="22"/>
    </row>
    <row r="17" spans="2:8" ht="57.75" customHeight="1">
      <c r="B17" s="21" t="s">
        <v>14</v>
      </c>
      <c r="C17" s="17"/>
      <c r="D17" s="18" t="s">
        <v>104</v>
      </c>
      <c r="E17" s="18"/>
      <c r="F17" s="17"/>
      <c r="G17" s="17"/>
      <c r="H17" s="22"/>
    </row>
    <row r="18" spans="2:8" ht="14" customHeight="1">
      <c r="B18" s="49" t="s">
        <v>8</v>
      </c>
      <c r="C18" s="50"/>
      <c r="D18" s="50"/>
      <c r="E18" s="50"/>
      <c r="F18" s="50"/>
      <c r="G18" s="50"/>
      <c r="H18" s="51"/>
    </row>
    <row r="19" spans="2:8" ht="57.75" customHeight="1" thickBot="1">
      <c r="B19" s="48"/>
      <c r="C19" s="43"/>
      <c r="D19" s="43"/>
      <c r="E19" s="43"/>
      <c r="F19" s="43"/>
      <c r="G19" s="43"/>
      <c r="H19" s="44"/>
    </row>
  </sheetData>
  <mergeCells count="3">
    <mergeCell ref="B1:H1"/>
    <mergeCell ref="B19:H19"/>
    <mergeCell ref="B18:H18"/>
  </mergeCells>
  <phoneticPr fontId="1" type="noConversion"/>
  <printOptions horizontalCentered="1"/>
  <pageMargins left="0.5" right="0.5" top="0.75" bottom="0.75"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9"/>
  <sheetViews>
    <sheetView showGridLines="0" topLeftCell="A8" workbookViewId="0">
      <selection activeCell="D13" sqref="D13"/>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41">
        <f>DATE(CalendarYear,3,1)</f>
        <v>42795</v>
      </c>
      <c r="C1" s="41"/>
      <c r="D1" s="41"/>
      <c r="E1" s="41"/>
      <c r="F1" s="41"/>
      <c r="G1" s="41"/>
      <c r="H1" s="41"/>
    </row>
    <row r="2" spans="1:8" s="3" customFormat="1" ht="21.75" customHeight="1">
      <c r="A2" s="2"/>
      <c r="B2" s="25" t="s">
        <v>0</v>
      </c>
      <c r="C2" s="26" t="s">
        <v>1</v>
      </c>
      <c r="D2" s="26" t="s">
        <v>2</v>
      </c>
      <c r="E2" s="26" t="s">
        <v>3</v>
      </c>
      <c r="F2" s="26" t="s">
        <v>4</v>
      </c>
      <c r="G2" s="26" t="s">
        <v>10</v>
      </c>
      <c r="H2" s="27" t="s">
        <v>6</v>
      </c>
    </row>
    <row r="3" spans="1:8" ht="14" customHeight="1">
      <c r="B3" s="8" t="str">
        <f>IF(AND(YEAR(MarSun1)=CalendarYear,MONTH(MarSun1)=3),MarSun1, "")</f>
        <v/>
      </c>
      <c r="C3" s="5" t="str">
        <f>IF(AND(YEAR(MarSun1+1)=CalendarYear,MONTH(MarSun1+1)=3),MarSun1+1, "")</f>
        <v/>
      </c>
      <c r="D3" s="5" t="str">
        <f>IF(AND(YEAR(MarSun1+2)=CalendarYear,MONTH(MarSun1+2)=3),MarSun1+2, "")</f>
        <v/>
      </c>
      <c r="E3" s="5">
        <f>IF(AND(YEAR(MarSun1+3)=CalendarYear,MONTH(MarSun1+3)=3),MarSun1+3, "")</f>
        <v>42795</v>
      </c>
      <c r="F3" s="5">
        <f>IF(AND(YEAR(MarSun1+4)=CalendarYear,MONTH(MarSun1+4)=3),MarSun1+4, "")</f>
        <v>42796</v>
      </c>
      <c r="G3" s="5">
        <f>IF(AND(YEAR(MarSun1+5)=CalendarYear,MONTH(MarSun1+5)=3),MarSun1+5, "")</f>
        <v>42797</v>
      </c>
      <c r="H3" s="9">
        <f>IF(AND(YEAR(MarSun1+6)=CalendarYear,MONTH(MarSun1+6)=3),MarSun1+6, "")</f>
        <v>42798</v>
      </c>
    </row>
    <row r="4" spans="1:8" ht="57.75" customHeight="1">
      <c r="B4" s="21" t="s">
        <v>13</v>
      </c>
      <c r="C4" s="17"/>
      <c r="D4" s="18"/>
      <c r="E4" s="18"/>
      <c r="F4" s="33" t="s">
        <v>17</v>
      </c>
      <c r="G4" s="18"/>
      <c r="H4" s="22" t="s">
        <v>20</v>
      </c>
    </row>
    <row r="5" spans="1:8" ht="57.75" customHeight="1">
      <c r="B5" s="21" t="s">
        <v>14</v>
      </c>
      <c r="C5" s="17"/>
      <c r="D5" s="18"/>
      <c r="E5" s="18"/>
      <c r="F5" s="34" t="s">
        <v>19</v>
      </c>
      <c r="G5" s="18"/>
      <c r="H5" s="22"/>
    </row>
    <row r="6" spans="1:8" ht="14" customHeight="1">
      <c r="B6" s="10">
        <f>IF(AND(YEAR(MarSun1+7)=CalendarYear,MONTH(MarSun1+7)=3),MarSun1+7, "")</f>
        <v>42799</v>
      </c>
      <c r="C6" s="5">
        <f>IF(AND(YEAR(MarSun1+8)=CalendarYear,MONTH(MarSun1+8)=3),MarSun1+8, "")</f>
        <v>42800</v>
      </c>
      <c r="D6" s="5">
        <f>IF(AND(YEAR(MarSun1+9)=CalendarYear,MONTH(MarSun1+9)=3),MarSun1+9, "")</f>
        <v>42801</v>
      </c>
      <c r="E6" s="5">
        <f>IF(AND(YEAR(MarSun1+10)=CalendarYear,MONTH(MarSun1+10)=3),MarSun1+10, "")</f>
        <v>42802</v>
      </c>
      <c r="F6" s="5">
        <f>IF(AND(YEAR(MarSun1+11)=CalendarYear,MONTH(MarSun1+11)=3),MarSun1+11, "")</f>
        <v>42803</v>
      </c>
      <c r="G6" s="5">
        <f>IF(AND(YEAR(MarSun1+12)=CalendarYear,MONTH(MarSun1+12)=3),MarSun1+12,"")</f>
        <v>42804</v>
      </c>
      <c r="H6" s="9">
        <f>IF(AND(YEAR(MarSun1+13)=CalendarYear,MONTH(MarSun1+13)=3),MarSun1+13, "")</f>
        <v>42805</v>
      </c>
    </row>
    <row r="7" spans="1:8" ht="57.75" customHeight="1">
      <c r="B7" s="21" t="s">
        <v>13</v>
      </c>
      <c r="C7" s="17"/>
      <c r="D7" s="18"/>
      <c r="E7" s="18"/>
      <c r="F7" s="33" t="s">
        <v>55</v>
      </c>
      <c r="G7" s="18"/>
      <c r="H7" s="22" t="s">
        <v>22</v>
      </c>
    </row>
    <row r="8" spans="1:8" ht="57.75" customHeight="1">
      <c r="B8" s="21" t="s">
        <v>14</v>
      </c>
      <c r="C8" s="17"/>
      <c r="D8" s="18"/>
      <c r="E8" s="18"/>
      <c r="F8" s="34" t="s">
        <v>57</v>
      </c>
      <c r="G8" s="18"/>
      <c r="H8" s="22"/>
    </row>
    <row r="9" spans="1:8" ht="14" customHeight="1">
      <c r="B9" s="10">
        <f>IF(AND(YEAR(MarSun1+14)=CalendarYear,MONTH(MarSun1+14)=3),MarSun1+14, "")</f>
        <v>42806</v>
      </c>
      <c r="C9" s="5">
        <f>IF(AND(YEAR(MarSun1+15)=CalendarYear,MONTH(MarSun1+15)=3),MarSun1+15, "")</f>
        <v>42807</v>
      </c>
      <c r="D9" s="5">
        <f>IF(AND(YEAR(MarSun1+16)=CalendarYear,MONTH(MarSun1+16)=3),MarSun1+16, "")</f>
        <v>42808</v>
      </c>
      <c r="E9" s="5">
        <f>IF(AND(YEAR(MarSun1+17)=CalendarYear,MONTH(MarSun1+17)=3),MarSun1+17, "")</f>
        <v>42809</v>
      </c>
      <c r="F9" s="5">
        <f>IF(AND(YEAR(MarSun1+18)=CalendarYear,MONTH(MarSun1+18)=3),MarSun1+18, "")</f>
        <v>42810</v>
      </c>
      <c r="G9" s="5">
        <f>IF(AND(YEAR(MarSun1+19)=CalendarYear,MONTH(MarSun1+19)=3),MarSun1+19, "")</f>
        <v>42811</v>
      </c>
      <c r="H9" s="9">
        <f>IF(AND(YEAR(MarSun1+20)=CalendarYear,MONTH(MarSun1+20)=3),MarSun1+20, "")</f>
        <v>42812</v>
      </c>
    </row>
    <row r="10" spans="1:8" ht="57.75" customHeight="1">
      <c r="B10" s="21" t="s">
        <v>13</v>
      </c>
      <c r="C10" s="17"/>
      <c r="D10" s="18"/>
      <c r="E10" s="18"/>
      <c r="F10" s="18" t="s">
        <v>123</v>
      </c>
      <c r="G10" s="18"/>
      <c r="H10" s="22" t="s">
        <v>23</v>
      </c>
    </row>
    <row r="11" spans="1:8" ht="57.75" customHeight="1">
      <c r="B11" s="21" t="s">
        <v>14</v>
      </c>
      <c r="C11" s="17"/>
      <c r="D11" s="18" t="s">
        <v>124</v>
      </c>
      <c r="E11" s="18"/>
      <c r="F11" s="18" t="s">
        <v>64</v>
      </c>
      <c r="G11" s="18"/>
      <c r="H11" s="22"/>
    </row>
    <row r="12" spans="1:8" ht="14" customHeight="1">
      <c r="B12" s="11">
        <f>IF(AND(YEAR(MarSun1+21)=CalendarYear,MONTH(MarSun1+21)=3),MarSun1+21, "")</f>
        <v>42813</v>
      </c>
      <c r="C12" s="6">
        <f>IF(AND(YEAR(MarSun1+22)=CalendarYear,MONTH(MarSun1+22)=3),MarSun1+22, "")</f>
        <v>42814</v>
      </c>
      <c r="D12" s="6">
        <f>IF(AND(YEAR(MarSun1+23)=CalendarYear,MONTH(MarSun1+23)=3),MarSun1+23, "")</f>
        <v>42815</v>
      </c>
      <c r="E12" s="6">
        <f>IF(AND(YEAR(MarSun1+24)=CalendarYear,MONTH(MarSun1+24)=3),MarSun1+24, "")</f>
        <v>42816</v>
      </c>
      <c r="F12" s="6">
        <f>IF(AND(YEAR(MarSun1+25)=CalendarYear,MONTH(MarSun1+25)=3),MarSun1+25, "")</f>
        <v>42817</v>
      </c>
      <c r="G12" s="6">
        <f>IF(AND(YEAR(MarSun1+26)=CalendarYear,MONTH(MarSun1+26)=3),MarSun1+26, "")</f>
        <v>42818</v>
      </c>
      <c r="H12" s="12">
        <f>IF(AND(YEAR(MarSun1+27)=CalendarYear,MONTH(MarSun1+27)=3),MarSun1+27, "")</f>
        <v>42819</v>
      </c>
    </row>
    <row r="13" spans="1:8" ht="57.75" customHeight="1">
      <c r="B13" s="21" t="s">
        <v>13</v>
      </c>
      <c r="C13" s="17"/>
      <c r="D13" s="18"/>
      <c r="E13" s="18"/>
      <c r="F13" s="18" t="s">
        <v>63</v>
      </c>
      <c r="G13" s="18"/>
      <c r="H13" s="22" t="s">
        <v>24</v>
      </c>
    </row>
    <row r="14" spans="1:8" ht="57.75" customHeight="1">
      <c r="B14" s="21" t="s">
        <v>14</v>
      </c>
      <c r="C14" s="17"/>
      <c r="D14" s="18"/>
      <c r="E14" s="18"/>
      <c r="F14" s="18" t="s">
        <v>58</v>
      </c>
      <c r="G14" s="18"/>
      <c r="H14" s="22"/>
    </row>
    <row r="15" spans="1:8" ht="14" customHeight="1">
      <c r="B15" s="11">
        <f>IF(AND(YEAR(MarSun1+28)=CalendarYear,MONTH(MarSun1+28)=3),MarSun1+28, "")</f>
        <v>42820</v>
      </c>
      <c r="C15" s="6">
        <f>IF(AND(YEAR(MarSun1+29)=CalendarYear,MONTH(MarSun1+29)=3),MarSun1+29, "")</f>
        <v>42821</v>
      </c>
      <c r="D15" s="6">
        <f>IF(AND(YEAR(MarSun1+30)=CalendarYear,MONTH(MarSun1+30)=3),MarSun1+30, "")</f>
        <v>42822</v>
      </c>
      <c r="E15" s="6">
        <f>IF(AND(YEAR(MarSun1+31)=CalendarYear,MONTH(MarSun1+31)=3),MarSun1+31, "")</f>
        <v>42823</v>
      </c>
      <c r="F15" s="6">
        <f>IF(AND(YEAR(MarSun1+32)=CalendarYear,MONTH(MarSun1+32)=3),MarSun1+32, "")</f>
        <v>42824</v>
      </c>
      <c r="G15" s="6">
        <f>IF(AND(YEAR(MarSun1+33)=CalendarYear,MONTH(MarSun1+33)=3),MarSun1+33, "")</f>
        <v>42825</v>
      </c>
      <c r="H15" s="12" t="str">
        <f>IF(AND(YEAR(MarSun1+34)=CalendarYear,MONTH(MarSun1+34)=3),MarSun1+34, "")</f>
        <v/>
      </c>
    </row>
    <row r="16" spans="1:8" ht="57.75" customHeight="1">
      <c r="B16" s="21" t="s">
        <v>13</v>
      </c>
      <c r="C16" s="17"/>
      <c r="D16" s="18"/>
      <c r="E16" s="18"/>
      <c r="F16" s="18" t="s">
        <v>69</v>
      </c>
      <c r="G16" s="17"/>
      <c r="H16" s="22"/>
    </row>
    <row r="17" spans="2:8" ht="57.75" customHeight="1">
      <c r="B17" s="21" t="s">
        <v>14</v>
      </c>
      <c r="C17" s="17"/>
      <c r="D17" s="18"/>
      <c r="E17" s="18"/>
      <c r="F17" s="18" t="s">
        <v>68</v>
      </c>
      <c r="G17" s="17"/>
      <c r="H17" s="22"/>
    </row>
    <row r="18" spans="2:8" ht="14" customHeight="1">
      <c r="B18" s="11" t="str">
        <f>IF(AND(YEAR(MarSun1+35)=CalendarYear,MONTH(MarSun1+35)=3),MarSun1+35, "")</f>
        <v/>
      </c>
      <c r="C18" s="6" t="str">
        <f>IF(AND(YEAR(MarSun1+36)=CalendarYear,MONTH(MarSun1+36)=3),MarSun1+36, "")</f>
        <v/>
      </c>
      <c r="D18" s="45" t="s">
        <v>8</v>
      </c>
      <c r="E18" s="46"/>
      <c r="F18" s="46"/>
      <c r="G18" s="46"/>
      <c r="H18" s="47"/>
    </row>
    <row r="19" spans="2:8" ht="57.75" customHeight="1" thickBot="1">
      <c r="B19" s="24"/>
      <c r="C19" s="13"/>
      <c r="D19" s="42"/>
      <c r="E19" s="43"/>
      <c r="F19" s="43"/>
      <c r="G19" s="43"/>
      <c r="H19" s="44"/>
    </row>
  </sheetData>
  <mergeCells count="3">
    <mergeCell ref="B1:H1"/>
    <mergeCell ref="D19:H19"/>
    <mergeCell ref="D18:H18"/>
  </mergeCells>
  <phoneticPr fontId="1" type="noConversion"/>
  <printOptions horizontalCentered="1"/>
  <pageMargins left="0.5" right="0.5" top="0.75" bottom="0.75"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9"/>
  <sheetViews>
    <sheetView showGridLines="0" tabSelected="1" topLeftCell="A9" workbookViewId="0">
      <selection activeCell="C22" sqref="C22"/>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41">
        <f>DATE(CalendarYear,4,1)</f>
        <v>42826</v>
      </c>
      <c r="C1" s="41"/>
      <c r="D1" s="41"/>
      <c r="E1" s="41"/>
      <c r="F1" s="41"/>
      <c r="G1" s="41"/>
      <c r="H1" s="41"/>
    </row>
    <row r="2" spans="1:8" s="3" customFormat="1" ht="21.75" customHeight="1">
      <c r="A2" s="2"/>
      <c r="B2" s="29" t="s">
        <v>0</v>
      </c>
      <c r="C2" s="30" t="s">
        <v>1</v>
      </c>
      <c r="D2" s="30" t="s">
        <v>2</v>
      </c>
      <c r="E2" s="30" t="s">
        <v>3</v>
      </c>
      <c r="F2" s="30" t="s">
        <v>4</v>
      </c>
      <c r="G2" s="30" t="s">
        <v>5</v>
      </c>
      <c r="H2" s="31" t="s">
        <v>6</v>
      </c>
    </row>
    <row r="3" spans="1:8" ht="14" customHeight="1">
      <c r="B3" s="8" t="str">
        <f>IF(AND(YEAR(AprSun1)=CalendarYear,MONTH(AprSun1)=4),AprSun1, "")</f>
        <v/>
      </c>
      <c r="C3" s="5" t="str">
        <f>IF(AND(YEAR(AprSun1+1)=CalendarYear,MONTH(AprSun1+1)=4),AprSun1+1, "")</f>
        <v/>
      </c>
      <c r="D3" s="5" t="str">
        <f>IF(AND(YEAR(AprSun1+2)=CalendarYear,MONTH(AprSun1+2)=4),AprSun1+2, "")</f>
        <v/>
      </c>
      <c r="E3" s="5" t="str">
        <f>IF(AND(YEAR(AprSun1+3)=CalendarYear,MONTH(AprSun1+3)=4),AprSun1+3, "")</f>
        <v/>
      </c>
      <c r="F3" s="5" t="str">
        <f>IF(AND(YEAR(AprSun1+4)=CalendarYear,MONTH(AprSun1+4)=4),AprSun1+4, "")</f>
        <v/>
      </c>
      <c r="G3" s="5" t="str">
        <f>IF(AND(YEAR(AprSun1+5)=CalendarYear,MONTH(AprSun1+5)=4),AprSun1+5, "")</f>
        <v/>
      </c>
      <c r="H3" s="9">
        <f>IF(AND(YEAR(AprSun1+6)=CalendarYear,MONTH(AprSun1+6)=4),AprSun1+6, "")</f>
        <v>42826</v>
      </c>
    </row>
    <row r="4" spans="1:8" ht="57.75" customHeight="1">
      <c r="B4" s="21" t="s">
        <v>13</v>
      </c>
      <c r="C4" s="17"/>
      <c r="D4" s="18"/>
      <c r="E4" s="18"/>
      <c r="F4" s="18"/>
      <c r="G4" s="18"/>
      <c r="H4" s="22"/>
    </row>
    <row r="5" spans="1:8" ht="57.75" customHeight="1">
      <c r="B5" s="21" t="s">
        <v>14</v>
      </c>
      <c r="C5" s="17"/>
      <c r="D5" s="18"/>
      <c r="E5" s="18"/>
      <c r="F5" s="18"/>
      <c r="G5" s="18"/>
      <c r="H5" s="22"/>
    </row>
    <row r="6" spans="1:8" ht="14" customHeight="1">
      <c r="B6" s="10">
        <f>IF(AND(YEAR(AprSun1+7)=CalendarYear,MONTH(AprSun1+7)=4),AprSun1+7, "")</f>
        <v>42827</v>
      </c>
      <c r="C6" s="5">
        <f>IF(AND(YEAR(AprSun1+8)=CalendarYear,MONTH(AprSun1+8)=4),AprSun1+8, "")</f>
        <v>42828</v>
      </c>
      <c r="D6" s="5">
        <f>IF(AND(YEAR(AprSun1+9)=CalendarYear,MONTH(AprSun1+9)=4),AprSun1+9, "")</f>
        <v>42829</v>
      </c>
      <c r="E6" s="5">
        <f>IF(AND(YEAR(AprSun1+10)=CalendarYear,MONTH(AprSun1+10)=4),AprSun1+10, "")</f>
        <v>42830</v>
      </c>
      <c r="F6" s="5">
        <f>IF(AND(YEAR(AprSun1+11)=CalendarYear,MONTH(AprSun1+11)=4),AprSun1+11, "")</f>
        <v>42831</v>
      </c>
      <c r="G6" s="5">
        <f>IF(AND(YEAR(AprSun1+12)=CalendarYear,MONTH(AprSun1+12)=4),AprSun1+12,"")</f>
        <v>42832</v>
      </c>
      <c r="H6" s="9">
        <f>IF(AND(YEAR(AprSun1+13)=CalendarYear,MONTH(AprSun1+13)=4),AprSun1+13, "")</f>
        <v>42833</v>
      </c>
    </row>
    <row r="7" spans="1:8" ht="57.75" customHeight="1">
      <c r="B7" s="21" t="s">
        <v>13</v>
      </c>
      <c r="C7" s="17"/>
      <c r="D7" s="18"/>
      <c r="E7" s="18"/>
      <c r="F7" s="18" t="s">
        <v>70</v>
      </c>
      <c r="G7" s="18"/>
      <c r="H7" s="22"/>
    </row>
    <row r="8" spans="1:8" ht="57.75" customHeight="1">
      <c r="B8" s="21" t="s">
        <v>14</v>
      </c>
      <c r="C8" s="17"/>
      <c r="D8" s="18"/>
      <c r="E8" s="18"/>
      <c r="F8" s="18" t="s">
        <v>71</v>
      </c>
      <c r="G8" s="18"/>
      <c r="H8" s="22"/>
    </row>
    <row r="9" spans="1:8" ht="14" customHeight="1">
      <c r="B9" s="10">
        <f>IF(AND(YEAR(AprSun1+14)=CalendarYear,MONTH(AprSun1+14)=4),AprSun1+14, "")</f>
        <v>42834</v>
      </c>
      <c r="C9" s="5">
        <f>IF(AND(YEAR(AprSun1+15)=CalendarYear,MONTH(AprSun1+15)=4),AprSun1+15, "")</f>
        <v>42835</v>
      </c>
      <c r="D9" s="5">
        <f>IF(AND(YEAR(AprSun1+16)=CalendarYear,MONTH(AprSun1+16)=4),AprSun1+16, "")</f>
        <v>42836</v>
      </c>
      <c r="E9" s="5">
        <f>IF(AND(YEAR(AprSun1+17)=CalendarYear,MONTH(AprSun1+17)=4),AprSun1+17, "")</f>
        <v>42837</v>
      </c>
      <c r="F9" s="5">
        <f>IF(AND(YEAR(AprSun1+18)=CalendarYear,MONTH(AprSun1+18)=4),AprSun1+18, "")</f>
        <v>42838</v>
      </c>
      <c r="G9" s="5">
        <f>IF(AND(YEAR(AprSun1+19)=CalendarYear,MONTH(AprSun1+19)=4),AprSun1+19, "")</f>
        <v>42839</v>
      </c>
      <c r="H9" s="9">
        <f>IF(AND(YEAR(AprSun1+20)=CalendarYear,MONTH(AprSun1+20)=4),AprSun1+20, "")</f>
        <v>42840</v>
      </c>
    </row>
    <row r="10" spans="1:8" ht="57.75" customHeight="1">
      <c r="B10" s="21" t="s">
        <v>13</v>
      </c>
      <c r="C10" s="17"/>
      <c r="D10" s="18" t="s">
        <v>62</v>
      </c>
      <c r="E10" s="18"/>
      <c r="F10" s="35" t="s">
        <v>21</v>
      </c>
      <c r="G10" s="18"/>
      <c r="H10" s="22"/>
    </row>
    <row r="11" spans="1:8" ht="57.75" customHeight="1">
      <c r="B11" s="21" t="s">
        <v>14</v>
      </c>
      <c r="C11" s="17"/>
      <c r="D11" s="18" t="s">
        <v>65</v>
      </c>
      <c r="E11" s="18"/>
      <c r="F11" s="35" t="s">
        <v>21</v>
      </c>
      <c r="G11" s="18"/>
      <c r="H11" s="22"/>
    </row>
    <row r="12" spans="1:8" ht="14" customHeight="1">
      <c r="B12" s="11">
        <f>IF(AND(YEAR(AprSun1+21)=CalendarYear,MONTH(AprSun1+21)=4),AprSun1+21, "")</f>
        <v>42841</v>
      </c>
      <c r="C12" s="6">
        <f>IF(AND(YEAR(AprSun1+22)=CalendarYear,MONTH(AprSun1+22)=4),AprSun1+22, "")</f>
        <v>42842</v>
      </c>
      <c r="D12" s="6">
        <f>IF(AND(YEAR(AprSun1+23)=CalendarYear,MONTH(AprSun1+23)=4),AprSun1+23, "")</f>
        <v>42843</v>
      </c>
      <c r="E12" s="6">
        <f>IF(AND(YEAR(AprSun1+24)=CalendarYear,MONTH(AprSun1+24)=4),AprSun1+24, "")</f>
        <v>42844</v>
      </c>
      <c r="F12" s="6">
        <f>IF(AND(YEAR(AprSun1+25)=CalendarYear,MONTH(AprSun1+25)=4),AprSun1+25, "")</f>
        <v>42845</v>
      </c>
      <c r="G12" s="6">
        <f>IF(AND(YEAR(AprSun1+26)=CalendarYear,MONTH(AprSun1+26)=4),AprSun1+26, "")</f>
        <v>42846</v>
      </c>
      <c r="H12" s="12">
        <f>IF(AND(YEAR(AprSun1+27)=CalendarYear,MONTH(AprSun1+27)=4),AprSun1+27, "")</f>
        <v>42847</v>
      </c>
    </row>
    <row r="13" spans="1:8" ht="57.75" customHeight="1">
      <c r="B13" s="21" t="s">
        <v>13</v>
      </c>
      <c r="C13" s="17"/>
      <c r="D13" s="18"/>
      <c r="E13" s="18"/>
      <c r="F13" s="18" t="s">
        <v>25</v>
      </c>
      <c r="G13" s="18"/>
      <c r="H13" s="22" t="s">
        <v>78</v>
      </c>
    </row>
    <row r="14" spans="1:8" ht="57.75" customHeight="1">
      <c r="B14" s="21" t="s">
        <v>14</v>
      </c>
      <c r="C14" s="17"/>
      <c r="D14" s="18"/>
      <c r="E14" s="18"/>
      <c r="F14" s="18" t="s">
        <v>77</v>
      </c>
      <c r="G14" s="18"/>
      <c r="H14" s="22"/>
    </row>
    <row r="15" spans="1:8" ht="14" customHeight="1">
      <c r="B15" s="11">
        <f>IF(AND(YEAR(AprSun1+28)=CalendarYear,MONTH(AprSun1+28)=4),AprSun1+28, "")</f>
        <v>42848</v>
      </c>
      <c r="C15" s="6">
        <f>IF(AND(YEAR(AprSun1+29)=CalendarYear,MONTH(AprSun1+29)=4),AprSun1+29, "")</f>
        <v>42849</v>
      </c>
      <c r="D15" s="6">
        <f>IF(AND(YEAR(AprSun1+30)=CalendarYear,MONTH(AprSun1+30)=4),AprSun1+30, "")</f>
        <v>42850</v>
      </c>
      <c r="E15" s="6">
        <f>IF(AND(YEAR(AprSun1+31)=CalendarYear,MONTH(AprSun1+31)=4),AprSun1+31, "")</f>
        <v>42851</v>
      </c>
      <c r="F15" s="6">
        <f>IF(AND(YEAR(AprSun1+32)=CalendarYear,MONTH(AprSun1+32)=4),AprSun1+32, "")</f>
        <v>42852</v>
      </c>
      <c r="G15" s="6">
        <f>IF(AND(YEAR(AprSun1+33)=CalendarYear,MONTH(AprSun1+33)=4),AprSun1+33, "")</f>
        <v>42853</v>
      </c>
      <c r="H15" s="12">
        <f>IF(AND(YEAR(AprSun1+34)=CalendarYear,MONTH(AprSun1+34)=4),AprSun1+34, "")</f>
        <v>42854</v>
      </c>
    </row>
    <row r="16" spans="1:8" ht="57.75" customHeight="1">
      <c r="B16" s="21" t="s">
        <v>13</v>
      </c>
      <c r="C16" s="17"/>
      <c r="D16" s="35" t="s">
        <v>21</v>
      </c>
      <c r="E16" s="18"/>
      <c r="F16" s="17" t="s">
        <v>56</v>
      </c>
      <c r="G16" s="17"/>
      <c r="H16" s="54" t="s">
        <v>74</v>
      </c>
    </row>
    <row r="17" spans="2:8" ht="57.75" customHeight="1">
      <c r="B17" s="21" t="s">
        <v>14</v>
      </c>
      <c r="C17" s="17"/>
      <c r="D17" s="35" t="s">
        <v>21</v>
      </c>
      <c r="E17" s="18"/>
      <c r="F17" s="17" t="s">
        <v>75</v>
      </c>
      <c r="G17" s="17"/>
      <c r="H17" s="22"/>
    </row>
    <row r="18" spans="2:8" ht="14" customHeight="1">
      <c r="B18" s="11">
        <f>IF(AND(YEAR(AprSun1+35)=CalendarYear,MONTH(AprSun1+35)=4),AprSun1+35, "")</f>
        <v>42855</v>
      </c>
      <c r="C18" s="45" t="s">
        <v>11</v>
      </c>
      <c r="D18" s="46"/>
      <c r="E18" s="46"/>
      <c r="F18" s="46"/>
      <c r="G18" s="46"/>
      <c r="H18" s="47"/>
    </row>
    <row r="19" spans="2:8" ht="57.75" customHeight="1" thickBot="1">
      <c r="B19" s="23"/>
      <c r="C19" s="42"/>
      <c r="D19" s="43"/>
      <c r="E19" s="43"/>
      <c r="F19" s="43"/>
      <c r="G19" s="43"/>
      <c r="H19" s="44"/>
    </row>
  </sheetData>
  <mergeCells count="3">
    <mergeCell ref="B1:H1"/>
    <mergeCell ref="C18:H18"/>
    <mergeCell ref="C19:H19"/>
  </mergeCells>
  <phoneticPr fontId="1" type="noConversion"/>
  <printOptions horizontalCentered="1"/>
  <pageMargins left="0.5" right="0.5" top="0.75" bottom="0.75"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9"/>
  <sheetViews>
    <sheetView showGridLines="0" topLeftCell="A2" workbookViewId="0">
      <selection activeCell="D14" sqref="D14"/>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41">
        <f>DATE(CalendarYear,5,1)</f>
        <v>42856</v>
      </c>
      <c r="C1" s="41"/>
      <c r="D1" s="41"/>
      <c r="E1" s="41"/>
      <c r="F1" s="41"/>
      <c r="G1" s="41"/>
      <c r="H1" s="41"/>
    </row>
    <row r="2" spans="1:8" s="3" customFormat="1" ht="21.75" customHeight="1">
      <c r="A2" s="2"/>
      <c r="B2" s="29" t="s">
        <v>0</v>
      </c>
      <c r="C2" s="30" t="s">
        <v>1</v>
      </c>
      <c r="D2" s="30" t="s">
        <v>2</v>
      </c>
      <c r="E2" s="30" t="s">
        <v>3</v>
      </c>
      <c r="F2" s="30" t="s">
        <v>4</v>
      </c>
      <c r="G2" s="30" t="s">
        <v>5</v>
      </c>
      <c r="H2" s="31" t="s">
        <v>6</v>
      </c>
    </row>
    <row r="3" spans="1:8" ht="14" customHeight="1">
      <c r="B3" s="8" t="str">
        <f>IF(AND(YEAR(MaySun1)=CalendarYear,MONTH(MaySun1)=5),MaySun1, "")</f>
        <v/>
      </c>
      <c r="C3" s="5">
        <f>IF(AND(YEAR(MaySun1+1)=CalendarYear,MONTH(MaySun1+1)=5),MaySun1+1, "")</f>
        <v>42856</v>
      </c>
      <c r="D3" s="5">
        <f>IF(AND(YEAR(MaySun1+2)=CalendarYear,MONTH(MaySun1+2)=5),MaySun1+2, "")</f>
        <v>42857</v>
      </c>
      <c r="E3" s="5">
        <f>IF(AND(YEAR(MaySun1+3)=CalendarYear,MONTH(MaySun1+3)=5),MaySun1+3, "")</f>
        <v>42858</v>
      </c>
      <c r="F3" s="5">
        <f>IF(AND(YEAR(MaySun1+4)=CalendarYear,MONTH(MaySun1+4)=5),MaySun1+4, "")</f>
        <v>42859</v>
      </c>
      <c r="G3" s="5">
        <f>IF(AND(YEAR(MaySun1+5)=CalendarYear,MONTH(MaySun1+5)=5),MaySun1+5, "")</f>
        <v>42860</v>
      </c>
      <c r="H3" s="9">
        <f>IF(AND(YEAR(MaySun1+6)=CalendarYear,MONTH(MaySun1+6)=5),MaySun1+6, "")</f>
        <v>42861</v>
      </c>
    </row>
    <row r="4" spans="1:8" ht="57.75" customHeight="1">
      <c r="B4" s="21" t="s">
        <v>13</v>
      </c>
      <c r="C4" s="17"/>
      <c r="D4" s="18"/>
      <c r="E4" s="18"/>
      <c r="F4" s="18" t="s">
        <v>61</v>
      </c>
      <c r="G4" s="18"/>
      <c r="H4" s="22" t="s">
        <v>76</v>
      </c>
    </row>
    <row r="5" spans="1:8" ht="57.75" customHeight="1">
      <c r="B5" s="21" t="s">
        <v>14</v>
      </c>
      <c r="C5" s="17"/>
      <c r="D5" s="18"/>
      <c r="E5" s="18"/>
      <c r="F5" s="18" t="s">
        <v>66</v>
      </c>
      <c r="G5" s="18"/>
      <c r="H5" s="22"/>
    </row>
    <row r="6" spans="1:8" ht="14" customHeight="1">
      <c r="B6" s="10">
        <f>IF(AND(YEAR(MaySun1+7)=CalendarYear,MONTH(MaySun1+7)=5),MaySun1+7, "")</f>
        <v>42862</v>
      </c>
      <c r="C6" s="5">
        <f>IF(AND(YEAR(MaySun1+8)=CalendarYear,MONTH(MaySun1+8)=5),MaySun1+8, "")</f>
        <v>42863</v>
      </c>
      <c r="D6" s="5">
        <f>IF(AND(YEAR(MaySun1+9)=CalendarYear,MONTH(MaySun1+9)=5),MaySun1+9, "")</f>
        <v>42864</v>
      </c>
      <c r="E6" s="5">
        <f>IF(AND(YEAR(MaySun1+10)=CalendarYear,MONTH(MaySun1+10)=5),MaySun1+10, "")</f>
        <v>42865</v>
      </c>
      <c r="F6" s="5">
        <f>IF(AND(YEAR(MaySun1+11)=CalendarYear,MONTH(MaySun1+11)=5),MaySun1+11, "")</f>
        <v>42866</v>
      </c>
      <c r="G6" s="5">
        <f>IF(AND(YEAR(MaySun1+12)=CalendarYear,MONTH(MaySun1+12)=5),MaySun1+12,"")</f>
        <v>42867</v>
      </c>
      <c r="H6" s="9">
        <f>IF(AND(YEAR(MaySun1+13)=CalendarYear,MONTH(MaySun1+13)=5),MaySun1+13, "")</f>
        <v>42868</v>
      </c>
    </row>
    <row r="7" spans="1:8" ht="57.75" customHeight="1">
      <c r="B7" s="21" t="s">
        <v>13</v>
      </c>
      <c r="C7" s="17"/>
      <c r="D7" s="18"/>
      <c r="E7" s="18"/>
      <c r="F7" s="18" t="s">
        <v>60</v>
      </c>
      <c r="G7" s="18"/>
      <c r="H7" s="22" t="s">
        <v>59</v>
      </c>
    </row>
    <row r="8" spans="1:8" ht="57.75" customHeight="1">
      <c r="B8" s="21" t="s">
        <v>14</v>
      </c>
      <c r="C8" s="17"/>
      <c r="D8" s="18"/>
      <c r="E8" s="18"/>
      <c r="F8" s="18" t="s">
        <v>67</v>
      </c>
      <c r="G8" s="18"/>
      <c r="H8" s="22"/>
    </row>
    <row r="9" spans="1:8" ht="14" customHeight="1">
      <c r="B9" s="10">
        <f>IF(AND(YEAR(MaySun1+14)=CalendarYear,MONTH(MaySun1+14)=5),MaySun1+14, "")</f>
        <v>42869</v>
      </c>
      <c r="C9" s="5">
        <f>IF(AND(YEAR(MaySun1+15)=CalendarYear,MONTH(MaySun1+15)=5),MaySun1+15, "")</f>
        <v>42870</v>
      </c>
      <c r="D9" s="5">
        <f>IF(AND(YEAR(MaySun1+16)=CalendarYear,MONTH(MaySun1+16)=5),MaySun1+16, "")</f>
        <v>42871</v>
      </c>
      <c r="E9" s="5">
        <f>IF(AND(YEAR(MaySun1+17)=CalendarYear,MONTH(MaySun1+17)=5),MaySun1+17, "")</f>
        <v>42872</v>
      </c>
      <c r="F9" s="5">
        <f>IF(AND(YEAR(MaySun1+18)=CalendarYear,MONTH(MaySun1+18)=5),MaySun1+18, "")</f>
        <v>42873</v>
      </c>
      <c r="G9" s="5">
        <f>IF(AND(YEAR(MaySun1+19)=CalendarYear,MONTH(MaySun1+19)=5),MaySun1+19, "")</f>
        <v>42874</v>
      </c>
      <c r="H9" s="9">
        <f>IF(AND(YEAR(MaySun1+20)=CalendarYear,MONTH(MaySun1+20)=5),MaySun1+20, "")</f>
        <v>42875</v>
      </c>
    </row>
    <row r="10" spans="1:8" ht="57.75" customHeight="1">
      <c r="B10" s="21" t="s">
        <v>13</v>
      </c>
      <c r="C10" s="17"/>
      <c r="D10" s="18"/>
      <c r="E10" s="18"/>
      <c r="F10" s="18" t="s">
        <v>79</v>
      </c>
      <c r="G10" s="18"/>
      <c r="H10" s="22"/>
    </row>
    <row r="11" spans="1:8" ht="57.75" customHeight="1">
      <c r="B11" s="21" t="s">
        <v>14</v>
      </c>
      <c r="C11" s="17"/>
      <c r="D11" s="18"/>
      <c r="E11" s="18"/>
      <c r="F11" s="18" t="s">
        <v>80</v>
      </c>
      <c r="G11" s="18"/>
      <c r="H11" s="22"/>
    </row>
    <row r="12" spans="1:8" ht="14" customHeight="1">
      <c r="B12" s="11">
        <f>IF(AND(YEAR(MaySun1+21)=CalendarYear,MONTH(MaySun1+21)=5),MaySun1+21, "")</f>
        <v>42876</v>
      </c>
      <c r="C12" s="6">
        <f>IF(AND(YEAR(MaySun1+22)=CalendarYear,MONTH(MaySun1+22)=5),MaySun1+22, "")</f>
        <v>42877</v>
      </c>
      <c r="D12" s="6">
        <f>IF(AND(YEAR(MaySun1+23)=CalendarYear,MONTH(MaySun1+23)=5),MaySun1+23, "")</f>
        <v>42878</v>
      </c>
      <c r="E12" s="6">
        <f>IF(AND(YEAR(MaySun1+24)=CalendarYear,MONTH(MaySun1+24)=5),MaySun1+24, "")</f>
        <v>42879</v>
      </c>
      <c r="F12" s="6">
        <f>IF(AND(YEAR(MaySun1+25)=CalendarYear,MONTH(MaySun1+25)=5),MaySun1+25, "")</f>
        <v>42880</v>
      </c>
      <c r="G12" s="6">
        <f>IF(AND(YEAR(MaySun1+26)=CalendarYear,MONTH(MaySun1+26)=5),MaySun1+26, "")</f>
        <v>42881</v>
      </c>
      <c r="H12" s="12">
        <f>IF(AND(YEAR(MaySun1+27)=CalendarYear,MONTH(MaySun1+27)=5),MaySun1+27, "")</f>
        <v>42882</v>
      </c>
    </row>
    <row r="13" spans="1:8" ht="57.75" customHeight="1">
      <c r="B13" s="21" t="s">
        <v>13</v>
      </c>
      <c r="C13" s="17"/>
      <c r="D13" s="18" t="s">
        <v>81</v>
      </c>
      <c r="E13" s="18"/>
      <c r="F13" s="18" t="s">
        <v>72</v>
      </c>
      <c r="G13" s="18"/>
      <c r="H13" s="22"/>
    </row>
    <row r="14" spans="1:8" ht="57.75" customHeight="1">
      <c r="B14" s="21" t="s">
        <v>14</v>
      </c>
      <c r="C14" s="17"/>
      <c r="D14" s="18"/>
      <c r="E14" s="18"/>
      <c r="F14" s="18" t="s">
        <v>73</v>
      </c>
      <c r="G14" s="18"/>
      <c r="H14" s="22"/>
    </row>
    <row r="15" spans="1:8" ht="14" customHeight="1">
      <c r="B15" s="11">
        <f>IF(AND(YEAR(MaySun1+28)=CalendarYear,MONTH(MaySun1+28)=5),MaySun1+28, "")</f>
        <v>42883</v>
      </c>
      <c r="C15" s="6">
        <f>IF(AND(YEAR(MaySun1+29)=CalendarYear,MONTH(MaySun1+29)=5),MaySun1+29, "")</f>
        <v>42884</v>
      </c>
      <c r="D15" s="6">
        <f>IF(AND(YEAR(MaySun1+30)=CalendarYear,MONTH(MaySun1+30)=5),MaySun1+30, "")</f>
        <v>42885</v>
      </c>
      <c r="E15" s="6">
        <f>IF(AND(YEAR(MaySun1+31)=CalendarYear,MONTH(MaySun1+31)=5),MaySun1+31, "")</f>
        <v>42886</v>
      </c>
      <c r="F15" s="6" t="str">
        <f>IF(AND(YEAR(MaySun1+32)=CalendarYear,MONTH(MaySun1+32)=5),MaySun1+32, "")</f>
        <v/>
      </c>
      <c r="G15" s="6" t="str">
        <f>IF(AND(YEAR(MaySun1+33)=CalendarYear,MONTH(MaySun1+33)=5),MaySun1+33, "")</f>
        <v/>
      </c>
      <c r="H15" s="12" t="str">
        <f>IF(AND(YEAR(MaySun1+34)=CalendarYear,MONTH(MaySun1+34)=5),MaySun1+34, "")</f>
        <v/>
      </c>
    </row>
    <row r="16" spans="1:8" ht="57.75" customHeight="1">
      <c r="B16" s="21" t="s">
        <v>13</v>
      </c>
      <c r="C16" s="17"/>
      <c r="D16" s="18"/>
      <c r="E16" s="18"/>
      <c r="F16" s="17"/>
      <c r="G16" s="17"/>
      <c r="H16" s="22"/>
    </row>
    <row r="17" spans="2:8" ht="57.75" customHeight="1">
      <c r="B17" s="21" t="s">
        <v>14</v>
      </c>
      <c r="C17" s="17"/>
      <c r="D17" s="18"/>
      <c r="E17" s="18"/>
      <c r="F17" s="17"/>
      <c r="G17" s="17"/>
      <c r="H17" s="22"/>
    </row>
    <row r="18" spans="2:8" ht="14" customHeight="1">
      <c r="B18" s="20" t="str">
        <f>IF(AND(YEAR(MaySun1+35)=CalendarYear,MONTH(MaySun1+35)=5),MaySun1+35, "")</f>
        <v/>
      </c>
      <c r="C18" s="16" t="str">
        <f>IF(AND(YEAR(MaySun1+36)=CalendarYear,MONTH(MaySun1+36)=5),MaySun1+36, "")</f>
        <v/>
      </c>
      <c r="D18" s="45" t="s">
        <v>8</v>
      </c>
      <c r="E18" s="46"/>
      <c r="F18" s="46"/>
      <c r="G18" s="46"/>
      <c r="H18" s="47"/>
    </row>
    <row r="19" spans="2:8" ht="57.75" customHeight="1" thickBot="1">
      <c r="B19" s="23"/>
      <c r="C19" s="19"/>
      <c r="D19" s="42"/>
      <c r="E19" s="43"/>
      <c r="F19" s="43"/>
      <c r="G19" s="43"/>
      <c r="H19" s="44"/>
    </row>
  </sheetData>
  <mergeCells count="3">
    <mergeCell ref="B1:H1"/>
    <mergeCell ref="D18:H18"/>
    <mergeCell ref="D19:H19"/>
  </mergeCells>
  <phoneticPr fontId="1" type="noConversion"/>
  <printOptions horizontalCentered="1"/>
  <pageMargins left="0.5" right="0.5" top="0.75" bottom="0.75"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C13" sqref="C13:H13"/>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41">
        <f>DATE(CalendarYear,6,1)</f>
        <v>42887</v>
      </c>
      <c r="C1" s="41"/>
      <c r="D1" s="41"/>
      <c r="E1" s="41"/>
      <c r="F1" s="41"/>
      <c r="G1" s="41"/>
      <c r="H1" s="41"/>
    </row>
    <row r="2" spans="1:8" s="3" customFormat="1" ht="21.75" customHeight="1">
      <c r="A2" s="2"/>
      <c r="B2" s="25" t="s">
        <v>0</v>
      </c>
      <c r="C2" s="26" t="s">
        <v>1</v>
      </c>
      <c r="D2" s="26" t="s">
        <v>2</v>
      </c>
      <c r="E2" s="26" t="s">
        <v>3</v>
      </c>
      <c r="F2" s="26" t="s">
        <v>4</v>
      </c>
      <c r="G2" s="26" t="s">
        <v>5</v>
      </c>
      <c r="H2" s="27" t="s">
        <v>6</v>
      </c>
    </row>
    <row r="3" spans="1:8" ht="14" customHeight="1">
      <c r="B3" s="8" t="str">
        <f>IF(AND(YEAR(JunSun1)=CalendarYear,MONTH(JunSun1)=6),JunSun1, "")</f>
        <v/>
      </c>
      <c r="C3" s="5" t="str">
        <f>IF(AND(YEAR(JunSun1+1)=CalendarYear,MONTH(JunSun1+1)=6),JunSun1+1, "")</f>
        <v/>
      </c>
      <c r="D3" s="5" t="str">
        <f>IF(AND(YEAR(JunSun1+2)=CalendarYear,MONTH(JunSun1+2)=6),JunSun1+2, "")</f>
        <v/>
      </c>
      <c r="E3" s="5" t="str">
        <f>IF(AND(YEAR(JunSun1+3)=CalendarYear,MONTH(JunSun1+3)=6),JunSun1+3, "")</f>
        <v/>
      </c>
      <c r="F3" s="5">
        <f>IF(AND(YEAR(JunSun1+4)=CalendarYear,MONTH(JunSun1+4)=6),JunSun1+4, "")</f>
        <v>42887</v>
      </c>
      <c r="G3" s="5">
        <f>IF(AND(YEAR(JunSun1+5)=CalendarYear,MONTH(JunSun1+5)=6),JunSun1+5, "")</f>
        <v>42888</v>
      </c>
      <c r="H3" s="9">
        <f>IF(AND(YEAR(JunSun1+6)=CalendarYear,MONTH(JunSun1+6)=6),JunSun1+6, "")</f>
        <v>42889</v>
      </c>
    </row>
    <row r="4" spans="1:8" ht="57.75" customHeight="1">
      <c r="B4" s="21"/>
      <c r="C4" s="17"/>
      <c r="D4" s="18"/>
      <c r="E4" s="18"/>
      <c r="F4" s="18"/>
      <c r="G4" s="18"/>
      <c r="H4" s="22"/>
    </row>
    <row r="5" spans="1:8" ht="14" customHeight="1">
      <c r="B5" s="10">
        <f>IF(AND(YEAR(JunSun1+7)=CalendarYear,MONTH(JunSun1+7)=6),JunSun1+7, "")</f>
        <v>42890</v>
      </c>
      <c r="C5" s="5">
        <f>IF(AND(YEAR(JunSun1+8)=CalendarYear,MONTH(JunSun1+8)=6),JunSun1+8, "")</f>
        <v>42891</v>
      </c>
      <c r="D5" s="5">
        <f>IF(AND(YEAR(JunSun1+9)=CalendarYear,MONTH(JunSun1+9)=6),JunSun1+9, "")</f>
        <v>42892</v>
      </c>
      <c r="E5" s="5">
        <f>IF(AND(YEAR(JunSun1+10)=CalendarYear,MONTH(JunSun1+10)=6),JunSun1+10, "")</f>
        <v>42893</v>
      </c>
      <c r="F5" s="5">
        <f>IF(AND(YEAR(JunSun1+11)=CalendarYear,MONTH(JunSun1+11)=6),JunSun1+11, "")</f>
        <v>42894</v>
      </c>
      <c r="G5" s="5">
        <f>IF(AND(YEAR(JunSun1+12)=CalendarYear,MONTH(JunSun1+12)=6),JunSun1+12,"")</f>
        <v>42895</v>
      </c>
      <c r="H5" s="9">
        <f>IF(AND(YEAR(JunSun1+13)=CalendarYear,MONTH(JunSun1+13)=6),JunSun1+13, "")</f>
        <v>42896</v>
      </c>
    </row>
    <row r="6" spans="1:8" ht="57.75" customHeight="1">
      <c r="B6" s="21"/>
      <c r="C6" s="17"/>
      <c r="D6" s="18"/>
      <c r="E6" s="18"/>
      <c r="F6" s="18"/>
      <c r="G6" s="18"/>
      <c r="H6" s="22"/>
    </row>
    <row r="7" spans="1:8" ht="14" customHeight="1">
      <c r="B7" s="10">
        <f>IF(AND(YEAR(JunSun1+14)=CalendarYear,MONTH(JunSun1+14)=6),JunSun1+14, "")</f>
        <v>42897</v>
      </c>
      <c r="C7" s="5">
        <f>IF(AND(YEAR(JunSun1+15)=CalendarYear,MONTH(JunSun1+15)=6),JunSun1+15, "")</f>
        <v>42898</v>
      </c>
      <c r="D7" s="5">
        <f>IF(AND(YEAR(JunSun1+16)=CalendarYear,MONTH(JunSun1+16)=6),JunSun1+16, "")</f>
        <v>42899</v>
      </c>
      <c r="E7" s="5">
        <f>IF(AND(YEAR(JunSun1+17)=CalendarYear,MONTH(JunSun1+17)=6),JunSun1+17, "")</f>
        <v>42900</v>
      </c>
      <c r="F7" s="5">
        <f>IF(AND(YEAR(JunSun1+18)=CalendarYear,MONTH(JunSun1+18)=6),JunSun1+18, "")</f>
        <v>42901</v>
      </c>
      <c r="G7" s="5">
        <f>IF(AND(YEAR(JunSun1+19)=CalendarYear,MONTH(JunSun1+19)=6),JunSun1+19, "")</f>
        <v>42902</v>
      </c>
      <c r="H7" s="9">
        <f>IF(AND(YEAR(JunSun1+20)=CalendarYear,MONTH(JunSun1+20)=6),JunSun1+20, "")</f>
        <v>42903</v>
      </c>
    </row>
    <row r="8" spans="1:8" ht="57.75" customHeight="1">
      <c r="B8" s="21"/>
      <c r="C8" s="17"/>
      <c r="D8" s="18"/>
      <c r="E8" s="18"/>
      <c r="F8" s="18"/>
      <c r="G8" s="18"/>
      <c r="H8" s="22"/>
    </row>
    <row r="9" spans="1:8" ht="14" customHeight="1">
      <c r="B9" s="11">
        <f>IF(AND(YEAR(JunSun1+21)=CalendarYear,MONTH(JunSun1+21)=6),JunSun1+21, "")</f>
        <v>42904</v>
      </c>
      <c r="C9" s="6">
        <f>IF(AND(YEAR(JunSun1+22)=CalendarYear,MONTH(JunSun1+22)=6),JunSun1+22, "")</f>
        <v>42905</v>
      </c>
      <c r="D9" s="6">
        <f>IF(AND(YEAR(JunSun1+23)=CalendarYear,MONTH(JunSun1+23)=6),JunSun1+23, "")</f>
        <v>42906</v>
      </c>
      <c r="E9" s="6">
        <f>IF(AND(YEAR(JunSun1+24)=CalendarYear,MONTH(JunSun1+24)=6),JunSun1+24, "")</f>
        <v>42907</v>
      </c>
      <c r="F9" s="6">
        <f>IF(AND(YEAR(JunSun1+25)=CalendarYear,MONTH(JunSun1+25)=6),JunSun1+25, "")</f>
        <v>42908</v>
      </c>
      <c r="G9" s="6">
        <f>IF(AND(YEAR(JunSun1+26)=CalendarYear,MONTH(JunSun1+26)=6),JunSun1+26, "")</f>
        <v>42909</v>
      </c>
      <c r="H9" s="12">
        <f>IF(AND(YEAR(JunSun1+27)=CalendarYear,MONTH(JunSun1+27)=6),JunSun1+27, "")</f>
        <v>42910</v>
      </c>
    </row>
    <row r="10" spans="1:8" ht="57.75" customHeight="1">
      <c r="B10" s="21"/>
      <c r="C10" s="17"/>
      <c r="D10" s="18"/>
      <c r="E10" s="18"/>
      <c r="F10" s="18"/>
      <c r="G10" s="18"/>
      <c r="H10" s="22"/>
    </row>
    <row r="11" spans="1:8" ht="14" customHeight="1">
      <c r="B11" s="11">
        <f>IF(AND(YEAR(JunSun1+28)=CalendarYear,MONTH(JunSun1+28)=6),JunSun1+28, "")</f>
        <v>42911</v>
      </c>
      <c r="C11" s="6">
        <f>IF(AND(YEAR(JunSun1+29)=CalendarYear,MONTH(JunSun1+29)=6),JunSun1+29, "")</f>
        <v>42912</v>
      </c>
      <c r="D11" s="6">
        <f>IF(AND(YEAR(JunSun1+30)=CalendarYear,MONTH(JunSun1+30)=6),JunSun1+30, "")</f>
        <v>42913</v>
      </c>
      <c r="E11" s="6">
        <f>IF(AND(YEAR(JunSun1+31)=CalendarYear,MONTH(JunSun1+31)=6),JunSun1+31, "")</f>
        <v>42914</v>
      </c>
      <c r="F11" s="6">
        <f>IF(AND(YEAR(JunSun1+32)=CalendarYear,MONTH(JunSun1+32)=6),JunSun1+32, "")</f>
        <v>42915</v>
      </c>
      <c r="G11" s="6">
        <f>IF(AND(YEAR(JunSun1+33)=CalendarYear,MONTH(JunSun1+33)=6),JunSun1+33, "")</f>
        <v>42916</v>
      </c>
      <c r="H11" s="12" t="str">
        <f>IF(AND(YEAR(JunSun1+34)=CalendarYear,MONTH(JunSun1+34)=6),JunSun1+34, "")</f>
        <v/>
      </c>
    </row>
    <row r="12" spans="1:8" ht="57.75" customHeight="1">
      <c r="B12" s="21"/>
      <c r="C12" s="17"/>
      <c r="D12" s="18"/>
      <c r="E12" s="18"/>
      <c r="F12" s="17"/>
      <c r="G12" s="17"/>
      <c r="H12" s="22"/>
    </row>
    <row r="13" spans="1:8" ht="14" customHeight="1">
      <c r="B13" s="11" t="str">
        <f>IF(AND(YEAR(JunSun1+35)=CalendarYear,MONTH(JunSun1+35)=6),JunSun1+35, "")</f>
        <v/>
      </c>
      <c r="C13" s="45" t="s">
        <v>8</v>
      </c>
      <c r="D13" s="46"/>
      <c r="E13" s="46"/>
      <c r="F13" s="46"/>
      <c r="G13" s="46"/>
      <c r="H13" s="47"/>
    </row>
    <row r="14" spans="1:8" ht="57.75" customHeight="1" thickBot="1">
      <c r="B14" s="23"/>
      <c r="C14" s="42"/>
      <c r="D14" s="43"/>
      <c r="E14" s="43"/>
      <c r="F14" s="43"/>
      <c r="G14" s="43"/>
      <c r="H14" s="44"/>
    </row>
  </sheetData>
  <mergeCells count="3">
    <mergeCell ref="B1:H1"/>
    <mergeCell ref="C13:H13"/>
    <mergeCell ref="C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workbookViewId="0">
      <selection activeCell="B27" sqref="B27"/>
    </sheetView>
  </sheetViews>
  <sheetFormatPr baseColWidth="10" defaultRowHeight="14" x14ac:dyDescent="0"/>
  <cols>
    <col min="1" max="1" width="29.5703125" bestFit="1" customWidth="1"/>
    <col min="2" max="2" width="49.42578125" customWidth="1"/>
  </cols>
  <sheetData>
    <row r="2" spans="1:3">
      <c r="A2" t="s">
        <v>28</v>
      </c>
    </row>
    <row r="3" spans="1:3">
      <c r="A3" t="s">
        <v>34</v>
      </c>
      <c r="B3" t="s">
        <v>35</v>
      </c>
    </row>
    <row r="4" spans="1:3">
      <c r="A4" t="s">
        <v>29</v>
      </c>
      <c r="B4" t="s">
        <v>32</v>
      </c>
    </row>
    <row r="5" spans="1:3">
      <c r="A5" t="s">
        <v>30</v>
      </c>
      <c r="B5" t="s">
        <v>31</v>
      </c>
    </row>
    <row r="7" spans="1:3">
      <c r="A7" t="s">
        <v>33</v>
      </c>
      <c r="B7" t="s">
        <v>106</v>
      </c>
    </row>
    <row r="9" spans="1:3">
      <c r="A9" t="s">
        <v>36</v>
      </c>
      <c r="B9" t="s">
        <v>37</v>
      </c>
    </row>
    <row r="10" spans="1:3">
      <c r="A10" t="s">
        <v>38</v>
      </c>
      <c r="B10" t="s">
        <v>46</v>
      </c>
    </row>
    <row r="11" spans="1:3">
      <c r="A11" t="s">
        <v>39</v>
      </c>
      <c r="B11" t="s">
        <v>49</v>
      </c>
    </row>
    <row r="12" spans="1:3">
      <c r="A12" t="s">
        <v>40</v>
      </c>
      <c r="B12" t="s">
        <v>47</v>
      </c>
    </row>
    <row r="13" spans="1:3">
      <c r="A13" t="s">
        <v>41</v>
      </c>
      <c r="B13" t="s">
        <v>48</v>
      </c>
    </row>
    <row r="14" spans="1:3">
      <c r="A14" t="s">
        <v>107</v>
      </c>
      <c r="B14" t="s">
        <v>108</v>
      </c>
      <c r="C14" t="s">
        <v>109</v>
      </c>
    </row>
    <row r="16" spans="1:3">
      <c r="A16" t="s">
        <v>42</v>
      </c>
      <c r="B16" t="s">
        <v>43</v>
      </c>
      <c r="C16" t="s">
        <v>52</v>
      </c>
    </row>
    <row r="17" spans="1:3">
      <c r="A17" t="s">
        <v>44</v>
      </c>
      <c r="B17" t="s">
        <v>45</v>
      </c>
      <c r="C17" t="s">
        <v>52</v>
      </c>
    </row>
    <row r="18" spans="1:3">
      <c r="A18" t="s">
        <v>50</v>
      </c>
      <c r="B18" t="s">
        <v>51</v>
      </c>
      <c r="C18" t="s">
        <v>52</v>
      </c>
    </row>
    <row r="19" spans="1:3">
      <c r="A19" t="s">
        <v>53</v>
      </c>
      <c r="B19" t="s">
        <v>54</v>
      </c>
      <c r="C19" t="s">
        <v>52</v>
      </c>
    </row>
    <row r="20" spans="1:3">
      <c r="A20" t="s">
        <v>110</v>
      </c>
      <c r="B20" t="s">
        <v>111</v>
      </c>
      <c r="C20" t="s">
        <v>52</v>
      </c>
    </row>
    <row r="22" spans="1:3">
      <c r="A22" t="s">
        <v>29</v>
      </c>
      <c r="B22" t="s">
        <v>112</v>
      </c>
    </row>
    <row r="23" spans="1:3">
      <c r="A23" t="s">
        <v>30</v>
      </c>
      <c r="B23" t="s">
        <v>113</v>
      </c>
    </row>
    <row r="24" spans="1:3">
      <c r="A24" s="36"/>
    </row>
    <row r="25" spans="1:3">
      <c r="A25" s="36"/>
    </row>
    <row r="26" spans="1:3">
      <c r="A26" s="52"/>
    </row>
    <row r="27" spans="1:3">
      <c r="A27" s="52"/>
    </row>
    <row r="28" spans="1:3">
      <c r="A28" s="37"/>
    </row>
    <row r="29" spans="1:3">
      <c r="A29" s="36"/>
    </row>
    <row r="30" spans="1:3">
      <c r="A30" s="36"/>
    </row>
    <row r="34" spans="1:1">
      <c r="A34" s="36"/>
    </row>
    <row r="35" spans="1:1">
      <c r="A35" s="36"/>
    </row>
    <row r="36" spans="1:1">
      <c r="A36" s="36"/>
    </row>
    <row r="37" spans="1:1">
      <c r="A37" s="36"/>
    </row>
    <row r="38" spans="1:1">
      <c r="A38" s="36"/>
    </row>
    <row r="39" spans="1:1">
      <c r="A39" s="36"/>
    </row>
    <row r="40" spans="1:1">
      <c r="A40" s="36"/>
    </row>
    <row r="41" spans="1:1">
      <c r="A41" s="36"/>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workbookViewId="0">
      <selection activeCell="A14" sqref="A14"/>
    </sheetView>
  </sheetViews>
  <sheetFormatPr baseColWidth="10" defaultColWidth="8.7109375" defaultRowHeight="13" x14ac:dyDescent="0"/>
  <cols>
    <col min="1" max="1" width="10.42578125" style="4" customWidth="1"/>
    <col min="2" max="2" width="9.5703125" style="4" customWidth="1"/>
    <col min="3" max="3" width="9.7109375" style="4" customWidth="1"/>
    <col min="4" max="16384" width="8.7109375" style="4"/>
  </cols>
  <sheetData>
    <row r="1" spans="1:3" ht="14">
      <c r="A1" s="4" t="s">
        <v>12</v>
      </c>
      <c r="B1" s="14"/>
    </row>
    <row r="2" spans="1:3" ht="14">
      <c r="A2" s="14">
        <v>2010</v>
      </c>
      <c r="B2" s="14"/>
    </row>
    <row r="3" spans="1:3" ht="14">
      <c r="A3" s="14">
        <v>2011</v>
      </c>
      <c r="B3" s="14"/>
    </row>
    <row r="4" spans="1:3" ht="14">
      <c r="A4" s="14">
        <v>2012</v>
      </c>
      <c r="B4" s="14"/>
    </row>
    <row r="5" spans="1:3" ht="14">
      <c r="A5" s="14">
        <v>2013</v>
      </c>
      <c r="B5" s="14"/>
    </row>
    <row r="6" spans="1:3" ht="14">
      <c r="A6" s="14">
        <v>2014</v>
      </c>
      <c r="B6" s="14"/>
    </row>
    <row r="7" spans="1:3" ht="14">
      <c r="A7" s="14">
        <v>2015</v>
      </c>
      <c r="B7" s="14"/>
    </row>
    <row r="8" spans="1:3" ht="14">
      <c r="A8" s="15">
        <v>2016</v>
      </c>
      <c r="B8" s="14"/>
    </row>
    <row r="9" spans="1:3" ht="14">
      <c r="A9" s="15">
        <v>2017</v>
      </c>
      <c r="B9" s="14"/>
    </row>
    <row r="10" spans="1:3" ht="14">
      <c r="A10"/>
      <c r="B10" s="14"/>
    </row>
    <row r="11" spans="1:3" ht="14">
      <c r="A11" s="14"/>
      <c r="B11" s="14"/>
    </row>
    <row r="12" spans="1:3" ht="14">
      <c r="A12" s="14"/>
      <c r="B12" s="14"/>
    </row>
  </sheetData>
  <phoneticPr fontId="1" type="noConversion"/>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3"/>
  <sheetViews>
    <sheetView topLeftCell="A15" workbookViewId="0">
      <selection activeCell="D32" sqref="D32"/>
    </sheetView>
  </sheetViews>
  <sheetFormatPr baseColWidth="10" defaultRowHeight="14" x14ac:dyDescent="0"/>
  <cols>
    <col min="4" max="4" width="36.7109375" bestFit="1" customWidth="1"/>
  </cols>
  <sheetData>
    <row r="2" spans="1:7">
      <c r="A2" t="s">
        <v>82</v>
      </c>
      <c r="B2" t="s">
        <v>83</v>
      </c>
      <c r="C2" t="s">
        <v>90</v>
      </c>
      <c r="D2" t="s">
        <v>85</v>
      </c>
      <c r="E2" t="s">
        <v>84</v>
      </c>
      <c r="F2" t="s">
        <v>114</v>
      </c>
      <c r="G2" t="s">
        <v>115</v>
      </c>
    </row>
    <row r="4" spans="1:7">
      <c r="A4" s="39">
        <v>42782</v>
      </c>
      <c r="B4" s="40" t="s">
        <v>89</v>
      </c>
      <c r="C4" s="40" t="s">
        <v>29</v>
      </c>
      <c r="D4" t="s">
        <v>36</v>
      </c>
      <c r="E4" t="s">
        <v>91</v>
      </c>
    </row>
    <row r="5" spans="1:7">
      <c r="A5" s="39">
        <v>42782</v>
      </c>
      <c r="B5" t="s">
        <v>88</v>
      </c>
      <c r="C5" t="s">
        <v>30</v>
      </c>
      <c r="D5" t="s">
        <v>36</v>
      </c>
      <c r="E5" t="s">
        <v>91</v>
      </c>
    </row>
    <row r="6" spans="1:7">
      <c r="A6" s="39">
        <v>42787</v>
      </c>
      <c r="B6" t="s">
        <v>86</v>
      </c>
      <c r="C6" t="s">
        <v>29</v>
      </c>
      <c r="D6" t="s">
        <v>116</v>
      </c>
      <c r="E6" t="s">
        <v>87</v>
      </c>
    </row>
    <row r="7" spans="1:7">
      <c r="A7" s="39">
        <v>42789</v>
      </c>
      <c r="B7" s="40" t="s">
        <v>89</v>
      </c>
      <c r="C7" t="s">
        <v>29</v>
      </c>
      <c r="D7" t="s">
        <v>117</v>
      </c>
      <c r="E7" t="s">
        <v>92</v>
      </c>
    </row>
    <row r="8" spans="1:7">
      <c r="A8" s="39">
        <v>42789</v>
      </c>
      <c r="B8" t="s">
        <v>89</v>
      </c>
      <c r="C8" t="s">
        <v>30</v>
      </c>
      <c r="D8" t="s">
        <v>118</v>
      </c>
      <c r="E8" t="s">
        <v>93</v>
      </c>
    </row>
    <row r="9" spans="1:7">
      <c r="A9" s="39">
        <v>42789</v>
      </c>
      <c r="B9" t="s">
        <v>88</v>
      </c>
      <c r="C9" t="s">
        <v>29</v>
      </c>
      <c r="D9" t="s">
        <v>118</v>
      </c>
      <c r="E9" t="s">
        <v>94</v>
      </c>
    </row>
    <row r="10" spans="1:7">
      <c r="A10" s="39">
        <v>42789</v>
      </c>
      <c r="B10" t="s">
        <v>88</v>
      </c>
      <c r="C10" t="s">
        <v>30</v>
      </c>
      <c r="D10" t="s">
        <v>117</v>
      </c>
      <c r="E10" t="s">
        <v>92</v>
      </c>
    </row>
    <row r="11" spans="1:7">
      <c r="A11" s="39">
        <v>42794</v>
      </c>
      <c r="B11" t="s">
        <v>86</v>
      </c>
      <c r="C11" t="s">
        <v>30</v>
      </c>
      <c r="D11" t="s">
        <v>116</v>
      </c>
      <c r="E11" t="s">
        <v>87</v>
      </c>
    </row>
    <row r="12" spans="1:7">
      <c r="A12" s="53" t="s">
        <v>119</v>
      </c>
      <c r="B12" s="40" t="s">
        <v>95</v>
      </c>
      <c r="C12" t="s">
        <v>96</v>
      </c>
      <c r="D12" t="s">
        <v>120</v>
      </c>
      <c r="E12" t="s">
        <v>97</v>
      </c>
    </row>
    <row r="13" spans="1:7">
      <c r="A13" s="53"/>
      <c r="B13" s="40"/>
    </row>
    <row r="14" spans="1:7">
      <c r="A14" s="39">
        <v>42796</v>
      </c>
      <c r="B14" t="s">
        <v>89</v>
      </c>
      <c r="C14" t="s">
        <v>29</v>
      </c>
      <c r="D14" t="s">
        <v>117</v>
      </c>
      <c r="E14" t="s">
        <v>92</v>
      </c>
    </row>
    <row r="15" spans="1:7">
      <c r="A15" s="39">
        <v>42796</v>
      </c>
      <c r="B15" t="s">
        <v>89</v>
      </c>
      <c r="C15" t="s">
        <v>30</v>
      </c>
      <c r="D15" t="s">
        <v>118</v>
      </c>
      <c r="E15" t="s">
        <v>93</v>
      </c>
    </row>
    <row r="16" spans="1:7">
      <c r="A16" s="39">
        <v>42796</v>
      </c>
      <c r="B16" t="s">
        <v>88</v>
      </c>
      <c r="C16" t="s">
        <v>30</v>
      </c>
      <c r="D16" t="s">
        <v>117</v>
      </c>
      <c r="E16" t="s">
        <v>92</v>
      </c>
    </row>
    <row r="17" spans="1:5">
      <c r="A17" s="39">
        <v>42796</v>
      </c>
      <c r="B17" t="s">
        <v>88</v>
      </c>
      <c r="C17" t="s">
        <v>29</v>
      </c>
      <c r="D17" t="s">
        <v>118</v>
      </c>
      <c r="E17" t="s">
        <v>94</v>
      </c>
    </row>
    <row r="18" spans="1:5">
      <c r="A18" s="39">
        <v>42798</v>
      </c>
      <c r="B18" t="s">
        <v>89</v>
      </c>
      <c r="C18" t="s">
        <v>29</v>
      </c>
      <c r="D18" t="s">
        <v>118</v>
      </c>
      <c r="E18" t="s">
        <v>94</v>
      </c>
    </row>
    <row r="19" spans="1:5">
      <c r="A19" s="39">
        <v>42798</v>
      </c>
      <c r="B19" t="s">
        <v>89</v>
      </c>
      <c r="C19" t="s">
        <v>30</v>
      </c>
      <c r="D19" t="s">
        <v>118</v>
      </c>
      <c r="E19" t="s">
        <v>93</v>
      </c>
    </row>
    <row r="20" spans="1:5">
      <c r="A20" s="39">
        <v>42803</v>
      </c>
      <c r="B20" t="s">
        <v>89</v>
      </c>
      <c r="C20" t="s">
        <v>29</v>
      </c>
      <c r="D20" t="s">
        <v>117</v>
      </c>
      <c r="E20" t="s">
        <v>92</v>
      </c>
    </row>
    <row r="21" spans="1:5">
      <c r="A21" s="39">
        <v>42803</v>
      </c>
      <c r="B21" t="s">
        <v>88</v>
      </c>
      <c r="C21" t="s">
        <v>30</v>
      </c>
      <c r="D21" t="s">
        <v>117</v>
      </c>
      <c r="E21" t="s">
        <v>92</v>
      </c>
    </row>
    <row r="22" spans="1:5">
      <c r="A22" s="39">
        <v>42805</v>
      </c>
      <c r="B22" s="40" t="s">
        <v>89</v>
      </c>
      <c r="C22" t="s">
        <v>121</v>
      </c>
      <c r="D22" t="s">
        <v>103</v>
      </c>
      <c r="E22" t="s">
        <v>94</v>
      </c>
    </row>
    <row r="23" spans="1:5">
      <c r="A23" s="39">
        <v>42808</v>
      </c>
      <c r="B23" t="s">
        <v>95</v>
      </c>
      <c r="C23" t="s">
        <v>96</v>
      </c>
      <c r="D23" t="s">
        <v>98</v>
      </c>
      <c r="E23" t="s">
        <v>97</v>
      </c>
    </row>
    <row r="24" spans="1:5">
      <c r="A24" s="39">
        <v>42810</v>
      </c>
      <c r="B24" s="40" t="s">
        <v>99</v>
      </c>
      <c r="C24" t="s">
        <v>29</v>
      </c>
      <c r="D24" t="s">
        <v>100</v>
      </c>
      <c r="E24" t="s">
        <v>101</v>
      </c>
    </row>
    <row r="25" spans="1:5">
      <c r="A25" s="39">
        <v>42810</v>
      </c>
      <c r="B25" t="s">
        <v>102</v>
      </c>
      <c r="C25" t="s">
        <v>30</v>
      </c>
      <c r="D25" t="s">
        <v>100</v>
      </c>
      <c r="E25" t="s">
        <v>101</v>
      </c>
    </row>
    <row r="26" spans="1:5">
      <c r="A26" s="39">
        <v>42810</v>
      </c>
      <c r="B26" t="s">
        <v>88</v>
      </c>
      <c r="C26" t="s">
        <v>29</v>
      </c>
      <c r="D26" t="s">
        <v>103</v>
      </c>
      <c r="E26" t="s">
        <v>94</v>
      </c>
    </row>
    <row r="27" spans="1:5">
      <c r="A27" s="39">
        <v>42812</v>
      </c>
      <c r="B27" t="s">
        <v>88</v>
      </c>
      <c r="C27" t="s">
        <v>30</v>
      </c>
      <c r="D27" t="s">
        <v>103</v>
      </c>
      <c r="E27" t="s">
        <v>94</v>
      </c>
    </row>
    <row r="28" spans="1:5">
      <c r="A28" s="39">
        <v>42817</v>
      </c>
      <c r="B28" t="s">
        <v>99</v>
      </c>
      <c r="C28" t="s">
        <v>29</v>
      </c>
      <c r="D28" t="s">
        <v>100</v>
      </c>
      <c r="E28" t="s">
        <v>101</v>
      </c>
    </row>
    <row r="29" spans="1:5">
      <c r="A29" s="39">
        <v>42817</v>
      </c>
      <c r="B29" t="s">
        <v>89</v>
      </c>
      <c r="C29" t="s">
        <v>30</v>
      </c>
      <c r="D29" t="s">
        <v>118</v>
      </c>
      <c r="E29" t="s">
        <v>93</v>
      </c>
    </row>
    <row r="30" spans="1:5">
      <c r="A30" s="39">
        <v>42817</v>
      </c>
      <c r="B30" t="s">
        <v>102</v>
      </c>
      <c r="C30" t="s">
        <v>30</v>
      </c>
      <c r="D30" t="s">
        <v>100</v>
      </c>
      <c r="E30" t="s">
        <v>101</v>
      </c>
    </row>
    <row r="31" spans="1:5">
      <c r="A31" s="39">
        <v>42817</v>
      </c>
      <c r="B31" t="s">
        <v>88</v>
      </c>
      <c r="C31" t="s">
        <v>29</v>
      </c>
      <c r="D31" t="s">
        <v>118</v>
      </c>
      <c r="E31" t="s">
        <v>94</v>
      </c>
    </row>
    <row r="32" spans="1:5">
      <c r="A32" s="39">
        <v>42819</v>
      </c>
      <c r="B32" t="s">
        <v>89</v>
      </c>
      <c r="C32" t="s">
        <v>30</v>
      </c>
      <c r="D32" t="s">
        <v>103</v>
      </c>
      <c r="E32" t="s">
        <v>94</v>
      </c>
    </row>
    <row r="33" spans="1:5">
      <c r="A33" s="39">
        <v>42824</v>
      </c>
      <c r="B33" t="s">
        <v>99</v>
      </c>
      <c r="C33" t="s">
        <v>29</v>
      </c>
      <c r="D33" t="s">
        <v>100</v>
      </c>
      <c r="E33" t="s">
        <v>101</v>
      </c>
    </row>
    <row r="34" spans="1:5">
      <c r="A34" s="39">
        <v>42824</v>
      </c>
      <c r="B34" t="s">
        <v>89</v>
      </c>
      <c r="C34" t="s">
        <v>30</v>
      </c>
      <c r="D34" t="s">
        <v>36</v>
      </c>
      <c r="E34" t="s">
        <v>91</v>
      </c>
    </row>
    <row r="35" spans="1:5">
      <c r="A35" s="39">
        <v>42824</v>
      </c>
      <c r="B35" t="s">
        <v>102</v>
      </c>
      <c r="C35" t="s">
        <v>30</v>
      </c>
      <c r="D35" t="s">
        <v>100</v>
      </c>
      <c r="E35" t="s">
        <v>101</v>
      </c>
    </row>
    <row r="36" spans="1:5">
      <c r="A36" s="39">
        <v>42824</v>
      </c>
      <c r="B36" t="s">
        <v>88</v>
      </c>
      <c r="C36" t="s">
        <v>29</v>
      </c>
      <c r="D36" t="s">
        <v>36</v>
      </c>
      <c r="E36" t="s">
        <v>91</v>
      </c>
    </row>
    <row r="38" spans="1:5">
      <c r="A38" s="39">
        <v>42831</v>
      </c>
      <c r="B38" t="s">
        <v>89</v>
      </c>
      <c r="C38" t="s">
        <v>29</v>
      </c>
      <c r="D38" t="s">
        <v>36</v>
      </c>
      <c r="E38" t="s">
        <v>91</v>
      </c>
    </row>
    <row r="39" spans="1:5">
      <c r="A39" s="39">
        <v>42831</v>
      </c>
      <c r="B39" t="s">
        <v>88</v>
      </c>
      <c r="C39" t="s">
        <v>30</v>
      </c>
      <c r="D39" t="s">
        <v>36</v>
      </c>
    </row>
    <row r="40" spans="1:5">
      <c r="A40" s="39">
        <v>42831</v>
      </c>
      <c r="B40" t="s">
        <v>88</v>
      </c>
      <c r="C40" t="s">
        <v>29</v>
      </c>
      <c r="D40" t="s">
        <v>103</v>
      </c>
      <c r="E40" t="s">
        <v>94</v>
      </c>
    </row>
    <row r="41" spans="1:5">
      <c r="A41" s="39">
        <v>42836</v>
      </c>
      <c r="B41" s="40" t="s">
        <v>99</v>
      </c>
      <c r="C41" t="s">
        <v>30</v>
      </c>
      <c r="D41" t="s">
        <v>100</v>
      </c>
      <c r="E41" t="s">
        <v>122</v>
      </c>
    </row>
    <row r="42" spans="1:5">
      <c r="A42" s="39">
        <v>42836</v>
      </c>
      <c r="B42" t="s">
        <v>102</v>
      </c>
      <c r="C42" t="s">
        <v>29</v>
      </c>
      <c r="D42" t="s">
        <v>100</v>
      </c>
      <c r="E42" t="s">
        <v>122</v>
      </c>
    </row>
    <row r="43" spans="1:5">
      <c r="A43" s="39">
        <v>42845</v>
      </c>
      <c r="B43" t="s">
        <v>89</v>
      </c>
      <c r="C43" t="s">
        <v>30</v>
      </c>
      <c r="D43" t="s">
        <v>117</v>
      </c>
      <c r="E43" t="s">
        <v>92</v>
      </c>
    </row>
    <row r="44" spans="1:5">
      <c r="A44" s="39">
        <v>42845</v>
      </c>
      <c r="B44" t="s">
        <v>89</v>
      </c>
      <c r="C44" t="s">
        <v>29</v>
      </c>
      <c r="D44" t="s">
        <v>117</v>
      </c>
      <c r="E44" t="s">
        <v>92</v>
      </c>
    </row>
    <row r="45" spans="1:5">
      <c r="A45" s="39">
        <v>42845</v>
      </c>
      <c r="B45" t="s">
        <v>88</v>
      </c>
      <c r="C45" t="s">
        <v>30</v>
      </c>
      <c r="D45" t="s">
        <v>103</v>
      </c>
      <c r="E45" t="s">
        <v>94</v>
      </c>
    </row>
    <row r="46" spans="1:5">
      <c r="A46" s="39">
        <v>42847</v>
      </c>
      <c r="B46" t="s">
        <v>89</v>
      </c>
      <c r="C46" t="s">
        <v>30</v>
      </c>
      <c r="D46" t="s">
        <v>103</v>
      </c>
      <c r="E46" t="s">
        <v>94</v>
      </c>
    </row>
    <row r="47" spans="1:5">
      <c r="A47" s="39">
        <v>42852</v>
      </c>
      <c r="B47" t="s">
        <v>89</v>
      </c>
      <c r="C47" t="s">
        <v>29</v>
      </c>
      <c r="D47" t="s">
        <v>117</v>
      </c>
      <c r="E47" t="s">
        <v>92</v>
      </c>
    </row>
    <row r="48" spans="1:5">
      <c r="A48" s="39">
        <v>42852</v>
      </c>
      <c r="B48" t="s">
        <v>89</v>
      </c>
      <c r="C48" t="s">
        <v>30</v>
      </c>
      <c r="D48" t="s">
        <v>118</v>
      </c>
      <c r="E48" t="s">
        <v>93</v>
      </c>
    </row>
    <row r="49" spans="1:5">
      <c r="A49" s="39">
        <v>42852</v>
      </c>
      <c r="B49" t="s">
        <v>88</v>
      </c>
      <c r="C49" t="s">
        <v>30</v>
      </c>
      <c r="D49" t="s">
        <v>117</v>
      </c>
      <c r="E49" t="s">
        <v>92</v>
      </c>
    </row>
    <row r="50" spans="1:5">
      <c r="A50" s="39">
        <v>42852</v>
      </c>
      <c r="B50" t="s">
        <v>88</v>
      </c>
      <c r="C50" t="s">
        <v>29</v>
      </c>
      <c r="D50" t="s">
        <v>103</v>
      </c>
      <c r="E50" t="s">
        <v>94</v>
      </c>
    </row>
    <row r="51" spans="1:5">
      <c r="A51" s="39">
        <v>42854</v>
      </c>
      <c r="B51" t="s">
        <v>89</v>
      </c>
      <c r="C51" t="s">
        <v>29</v>
      </c>
      <c r="D51" t="s">
        <v>118</v>
      </c>
      <c r="E51" t="s">
        <v>94</v>
      </c>
    </row>
    <row r="52" spans="1:5">
      <c r="A52" s="39">
        <v>42854</v>
      </c>
      <c r="B52" t="s">
        <v>89</v>
      </c>
      <c r="C52" t="s">
        <v>30</v>
      </c>
      <c r="D52" t="s">
        <v>118</v>
      </c>
      <c r="E52" t="s">
        <v>93</v>
      </c>
    </row>
    <row r="54" spans="1:5">
      <c r="A54" s="39">
        <v>42859</v>
      </c>
      <c r="B54" t="s">
        <v>99</v>
      </c>
      <c r="C54" t="s">
        <v>29</v>
      </c>
      <c r="D54" t="s">
        <v>100</v>
      </c>
      <c r="E54" t="s">
        <v>122</v>
      </c>
    </row>
    <row r="55" spans="1:5">
      <c r="A55" s="39">
        <v>42859</v>
      </c>
      <c r="B55" t="s">
        <v>89</v>
      </c>
      <c r="C55" t="s">
        <v>30</v>
      </c>
      <c r="D55" t="s">
        <v>117</v>
      </c>
      <c r="E55" t="s">
        <v>92</v>
      </c>
    </row>
    <row r="56" spans="1:5">
      <c r="A56" s="39">
        <v>42859</v>
      </c>
      <c r="B56" t="s">
        <v>102</v>
      </c>
      <c r="C56" t="s">
        <v>30</v>
      </c>
      <c r="D56" t="s">
        <v>100</v>
      </c>
      <c r="E56" t="s">
        <v>122</v>
      </c>
    </row>
    <row r="57" spans="1:5">
      <c r="A57" s="39">
        <v>42859</v>
      </c>
      <c r="B57" t="s">
        <v>88</v>
      </c>
      <c r="C57" t="s">
        <v>29</v>
      </c>
      <c r="D57" t="s">
        <v>117</v>
      </c>
      <c r="E57" t="s">
        <v>92</v>
      </c>
    </row>
    <row r="58" spans="1:5">
      <c r="A58" s="39">
        <v>42861</v>
      </c>
      <c r="B58" t="s">
        <v>89</v>
      </c>
      <c r="C58" t="s">
        <v>30</v>
      </c>
      <c r="D58" t="s">
        <v>118</v>
      </c>
      <c r="E58" t="s">
        <v>93</v>
      </c>
    </row>
    <row r="59" spans="1:5">
      <c r="A59" s="39">
        <v>42861</v>
      </c>
      <c r="B59" t="s">
        <v>89</v>
      </c>
      <c r="C59" t="s">
        <v>29</v>
      </c>
      <c r="D59" t="s">
        <v>118</v>
      </c>
      <c r="E59" t="s">
        <v>94</v>
      </c>
    </row>
    <row r="60" spans="1:5">
      <c r="A60" s="39">
        <v>42866</v>
      </c>
      <c r="B60" t="s">
        <v>99</v>
      </c>
      <c r="C60" t="s">
        <v>29</v>
      </c>
      <c r="D60" t="s">
        <v>100</v>
      </c>
      <c r="E60" t="s">
        <v>122</v>
      </c>
    </row>
    <row r="61" spans="1:5">
      <c r="A61" s="39">
        <v>42866</v>
      </c>
      <c r="B61" t="s">
        <v>89</v>
      </c>
      <c r="C61" t="s">
        <v>30</v>
      </c>
      <c r="D61" t="s">
        <v>117</v>
      </c>
      <c r="E61" t="s">
        <v>92</v>
      </c>
    </row>
    <row r="62" spans="1:5">
      <c r="A62" s="39">
        <v>42866</v>
      </c>
      <c r="B62" t="s">
        <v>102</v>
      </c>
      <c r="C62" t="s">
        <v>30</v>
      </c>
      <c r="D62" t="s">
        <v>100</v>
      </c>
      <c r="E62" t="s">
        <v>122</v>
      </c>
    </row>
    <row r="63" spans="1:5">
      <c r="A63" s="39">
        <v>42866</v>
      </c>
      <c r="B63" t="s">
        <v>88</v>
      </c>
      <c r="C63" t="s">
        <v>29</v>
      </c>
      <c r="D63" t="s">
        <v>117</v>
      </c>
      <c r="E63" t="s">
        <v>92</v>
      </c>
    </row>
    <row r="64" spans="1:5">
      <c r="A64" s="39">
        <v>42868</v>
      </c>
      <c r="B64" t="s">
        <v>89</v>
      </c>
      <c r="C64" t="s">
        <v>29</v>
      </c>
      <c r="D64" t="s">
        <v>118</v>
      </c>
      <c r="E64" t="s">
        <v>94</v>
      </c>
    </row>
    <row r="65" spans="1:5">
      <c r="A65" s="39">
        <v>42873</v>
      </c>
      <c r="B65" t="s">
        <v>89</v>
      </c>
      <c r="C65" t="s">
        <v>30</v>
      </c>
      <c r="D65" t="s">
        <v>117</v>
      </c>
      <c r="E65" t="s">
        <v>92</v>
      </c>
    </row>
    <row r="66" spans="1:5">
      <c r="A66" s="39">
        <v>42873</v>
      </c>
      <c r="B66" t="s">
        <v>99</v>
      </c>
      <c r="C66" t="s">
        <v>29</v>
      </c>
      <c r="D66" t="s">
        <v>100</v>
      </c>
      <c r="E66" t="s">
        <v>122</v>
      </c>
    </row>
    <row r="67" spans="1:5">
      <c r="A67" s="39">
        <v>42873</v>
      </c>
      <c r="B67" t="s">
        <v>88</v>
      </c>
      <c r="C67" t="s">
        <v>29</v>
      </c>
      <c r="D67" t="s">
        <v>117</v>
      </c>
      <c r="E67" t="s">
        <v>92</v>
      </c>
    </row>
    <row r="68" spans="1:5">
      <c r="A68" s="39">
        <v>42873</v>
      </c>
      <c r="B68" t="s">
        <v>102</v>
      </c>
      <c r="C68" t="s">
        <v>30</v>
      </c>
      <c r="D68" t="s">
        <v>100</v>
      </c>
      <c r="E68" t="s">
        <v>122</v>
      </c>
    </row>
    <row r="69" spans="1:5">
      <c r="A69" s="39">
        <v>42878</v>
      </c>
      <c r="B69" t="s">
        <v>99</v>
      </c>
      <c r="C69" t="s">
        <v>96</v>
      </c>
      <c r="D69" t="s">
        <v>100</v>
      </c>
      <c r="E69" t="s">
        <v>122</v>
      </c>
    </row>
    <row r="70" spans="1:5">
      <c r="A70" s="39">
        <v>42880</v>
      </c>
      <c r="B70" t="s">
        <v>89</v>
      </c>
      <c r="C70" t="s">
        <v>29</v>
      </c>
      <c r="D70" t="s">
        <v>36</v>
      </c>
      <c r="E70" t="s">
        <v>91</v>
      </c>
    </row>
    <row r="71" spans="1:5">
      <c r="A71" s="39">
        <v>42880</v>
      </c>
      <c r="B71" t="s">
        <v>89</v>
      </c>
      <c r="C71" t="s">
        <v>30</v>
      </c>
      <c r="D71" t="s">
        <v>118</v>
      </c>
      <c r="E71" t="s">
        <v>93</v>
      </c>
    </row>
    <row r="72" spans="1:5">
      <c r="A72" s="39">
        <v>42880</v>
      </c>
      <c r="B72" t="s">
        <v>88</v>
      </c>
      <c r="C72" t="s">
        <v>30</v>
      </c>
      <c r="D72" t="s">
        <v>36</v>
      </c>
      <c r="E72" t="s">
        <v>91</v>
      </c>
    </row>
    <row r="73" spans="1:5">
      <c r="A73" s="39">
        <v>42880</v>
      </c>
      <c r="B73" t="s">
        <v>88</v>
      </c>
      <c r="C73" t="s">
        <v>29</v>
      </c>
      <c r="D73" t="s">
        <v>118</v>
      </c>
      <c r="E73" t="s">
        <v>94</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9</vt:i4>
      </vt:variant>
    </vt:vector>
  </HeadingPairs>
  <TitlesOfParts>
    <vt:vector size="9" baseType="lpstr">
      <vt:lpstr>Gen</vt:lpstr>
      <vt:lpstr>Feb</vt:lpstr>
      <vt:lpstr>Mar</vt:lpstr>
      <vt:lpstr>Apr</vt:lpstr>
      <vt:lpstr>Mag</vt:lpstr>
      <vt:lpstr>Giu</vt:lpstr>
      <vt:lpstr>legenda</vt:lpstr>
      <vt:lpstr>Elenco di ricerca</vt:lpstr>
      <vt:lpstr>Elenco per data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Cristina Casaschi</cp:lastModifiedBy>
  <dcterms:created xsi:type="dcterms:W3CDTF">2001-05-02T15:52:45Z</dcterms:created>
  <dcterms:modified xsi:type="dcterms:W3CDTF">2017-02-12T18:32:07Z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TC102851621033</vt:lpwstr>
  </property>
</Properties>
</file>